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ONSTRUCTION DATA SUPPORT OFFICE\INDEXES - AC and FUEL\Spreadsheets\FUEL&amp;AC_INDEX_IT\"/>
    </mc:Choice>
  </mc:AlternateContent>
  <xr:revisionPtr revIDLastSave="0" documentId="13_ncr:1_{05D4ADB8-1E44-4263-BCC5-AAD562191DB2}" xr6:coauthVersionLast="47" xr6:coauthVersionMax="47" xr10:uidLastSave="{00000000-0000-0000-0000-000000000000}"/>
  <workbookProtection workbookAlgorithmName="SHA-512" workbookHashValue="ZRYTYWC3PYgC058qEIWGoNLDMLo+UI8FkPE4qvOe55S2sJWC931DczTvksH+QfPyRrf9+Lu9R5SiC0UH8+vuBA==" workbookSaltValue="aQwOWzSmsHfzeev1DfBnGA==" workbookSpinCount="100000" lockStructure="1"/>
  <bookViews>
    <workbookView xWindow="-28920" yWindow="-120" windowWidth="29040" windowHeight="15720" tabRatio="845" xr2:uid="{00000000-000D-0000-FFFF-FFFF00000000}"/>
  </bookViews>
  <sheets>
    <sheet name="Index Dates and Adjustments" sheetId="1" r:id="rId1"/>
    <sheet name="Maintain Indexes" sheetId="2" r:id="rId2"/>
    <sheet name="Fuel Charts" sheetId="3" r:id="rId3"/>
    <sheet name="AC Binder Chart" sheetId="4" r:id="rId4"/>
    <sheet name="Bit. Surf. Chart" sheetId="5" r:id="rId5"/>
  </sheets>
  <definedNames>
    <definedName name="AsphaltBinderBase">'Index Dates and Adjustments'!$C$8</definedName>
    <definedName name="AsphaltBinderChange">'AC Binder Chart'!$E$6</definedName>
    <definedName name="AsphaltBinderCurrent">'Index Dates and Adjustments'!$I$8</definedName>
    <definedName name="DieselBase">'Index Dates and Adjustments'!$D$8</definedName>
    <definedName name="DieselChange">'Fuel Charts'!$E$7</definedName>
    <definedName name="DieselCurrent">'Index Dates and Adjustments'!$J$8</definedName>
    <definedName name="MaintainIndexes">'Maintain Indexes'!$B$4:$E$26</definedName>
    <definedName name="UnleadedBase">'Index Dates and Adjustments'!$E$8</definedName>
    <definedName name="UnleadedChange">'Fuel Charts'!$E$62</definedName>
    <definedName name="UnleadedCurrent">'Index Dates and Adjustments'!$K$8</definedName>
    <definedName name="Validdates">'Maintain Indexes'!$B$4:$B$26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E35" i="4" l="1"/>
  <c r="I8" i="1"/>
  <c r="E4" i="5" s="1"/>
  <c r="E10" i="5"/>
  <c r="E11" i="5"/>
  <c r="E9" i="5"/>
  <c r="E7" i="5"/>
  <c r="E15" i="5"/>
  <c r="D8" i="1"/>
  <c r="E50" i="3" s="1"/>
  <c r="E8" i="1"/>
  <c r="G78" i="3" s="1"/>
  <c r="K8" i="1"/>
  <c r="E61" i="3" s="1"/>
  <c r="J8" i="1"/>
  <c r="E6" i="3" s="1"/>
  <c r="E85" i="4" l="1"/>
  <c r="E90" i="4"/>
  <c r="E16" i="4"/>
  <c r="E97" i="4"/>
  <c r="F79" i="4"/>
  <c r="F33" i="4"/>
  <c r="F45" i="4"/>
  <c r="E41" i="4"/>
  <c r="F89" i="3"/>
  <c r="F54" i="4"/>
  <c r="E3" i="5"/>
  <c r="G90" i="3"/>
  <c r="E87" i="4"/>
  <c r="F68" i="4"/>
  <c r="E81" i="4"/>
  <c r="E105" i="4"/>
  <c r="F96" i="4"/>
  <c r="F22" i="4"/>
  <c r="E84" i="4"/>
  <c r="F40" i="4"/>
  <c r="G65" i="4"/>
  <c r="G91" i="4"/>
  <c r="G37" i="4"/>
  <c r="F26" i="4"/>
  <c r="F63" i="4"/>
  <c r="G60" i="4"/>
  <c r="G84" i="4"/>
  <c r="F91" i="4"/>
  <c r="F88" i="4"/>
  <c r="G87" i="4"/>
  <c r="E95" i="4"/>
  <c r="F19" i="4"/>
  <c r="G42" i="4"/>
  <c r="E93" i="4"/>
  <c r="G61" i="4"/>
  <c r="G62" i="4"/>
  <c r="G82" i="4"/>
  <c r="G27" i="4"/>
  <c r="F75" i="4"/>
  <c r="F28" i="4"/>
  <c r="E74" i="4"/>
  <c r="F82" i="4"/>
  <c r="G36" i="4"/>
  <c r="E49" i="4"/>
  <c r="G57" i="4"/>
  <c r="G50" i="3"/>
  <c r="G43" i="3"/>
  <c r="G42" i="3"/>
  <c r="F30" i="3"/>
  <c r="G83" i="3"/>
  <c r="F48" i="3"/>
  <c r="E82" i="4"/>
  <c r="F15" i="4"/>
  <c r="F97" i="4"/>
  <c r="G103" i="4"/>
  <c r="G43" i="4"/>
  <c r="F38" i="4"/>
  <c r="F78" i="4"/>
  <c r="G12" i="4"/>
  <c r="E12" i="4"/>
  <c r="E51" i="4"/>
  <c r="G78" i="4"/>
  <c r="F50" i="4"/>
  <c r="G72" i="3"/>
  <c r="E74" i="3"/>
  <c r="E58" i="4"/>
  <c r="F41" i="4"/>
  <c r="E61" i="4"/>
  <c r="F46" i="4"/>
  <c r="F72" i="4"/>
  <c r="E20" i="4"/>
  <c r="E13" i="4"/>
  <c r="G56" i="4"/>
  <c r="F71" i="4"/>
  <c r="G29" i="4"/>
  <c r="G75" i="4"/>
  <c r="E48" i="4"/>
  <c r="G63" i="4"/>
  <c r="G50" i="4"/>
  <c r="E65" i="4"/>
  <c r="E67" i="4"/>
  <c r="G21" i="4"/>
  <c r="G39" i="4"/>
  <c r="F101" i="4"/>
  <c r="E103" i="4"/>
  <c r="G15" i="4"/>
  <c r="E38" i="4"/>
  <c r="E15" i="4"/>
  <c r="G35" i="4"/>
  <c r="G92" i="4"/>
  <c r="E23" i="4"/>
  <c r="G20" i="4"/>
  <c r="E68" i="4"/>
  <c r="G51" i="4"/>
  <c r="E70" i="4"/>
  <c r="E100" i="4"/>
  <c r="E31" i="4"/>
  <c r="F67" i="4"/>
  <c r="E27" i="4"/>
  <c r="G16" i="4"/>
  <c r="G59" i="4"/>
  <c r="G85" i="4"/>
  <c r="E44" i="4"/>
  <c r="G98" i="4"/>
  <c r="G30" i="4"/>
  <c r="F74" i="4"/>
  <c r="E40" i="4"/>
  <c r="G102" i="4"/>
  <c r="F73" i="4"/>
  <c r="F52" i="4"/>
  <c r="E57" i="4"/>
  <c r="F84" i="4"/>
  <c r="E24" i="4"/>
  <c r="E30" i="4"/>
  <c r="F60" i="4"/>
  <c r="F90" i="4"/>
  <c r="G76" i="4"/>
  <c r="F25" i="4"/>
  <c r="F51" i="4"/>
  <c r="E72" i="4"/>
  <c r="F59" i="4"/>
  <c r="F29" i="4"/>
  <c r="G80" i="4"/>
  <c r="G33" i="4"/>
  <c r="F53" i="4"/>
  <c r="G97" i="4"/>
  <c r="F48" i="4"/>
  <c r="F92" i="4"/>
  <c r="F11" i="4"/>
  <c r="E32" i="4"/>
  <c r="E71" i="4"/>
  <c r="E21" i="4"/>
  <c r="E28" i="4"/>
  <c r="G55" i="4"/>
  <c r="E33" i="4"/>
  <c r="F86" i="4"/>
  <c r="G67" i="4"/>
  <c r="G72" i="4"/>
  <c r="G49" i="4"/>
  <c r="F21" i="4"/>
  <c r="F104" i="4"/>
  <c r="F43" i="4"/>
  <c r="G83" i="4"/>
  <c r="F65" i="4"/>
  <c r="G34" i="4"/>
  <c r="E63" i="4"/>
  <c r="E98" i="4"/>
  <c r="F81" i="3"/>
  <c r="G95" i="3"/>
  <c r="E22" i="4"/>
  <c r="E101" i="4"/>
  <c r="G14" i="4"/>
  <c r="G28" i="4"/>
  <c r="E26" i="4"/>
  <c r="F16" i="4"/>
  <c r="E45" i="4"/>
  <c r="G70" i="4"/>
  <c r="G104" i="4"/>
  <c r="G38" i="4"/>
  <c r="F17" i="4"/>
  <c r="F35" i="4"/>
  <c r="E43" i="4"/>
  <c r="E75" i="4"/>
  <c r="F42" i="4"/>
  <c r="F103" i="4"/>
  <c r="F61" i="4"/>
  <c r="E47" i="4"/>
  <c r="G89" i="4"/>
  <c r="F76" i="4"/>
  <c r="F27" i="4"/>
  <c r="G79" i="4"/>
  <c r="G100" i="4"/>
  <c r="F80" i="4"/>
  <c r="E56" i="4"/>
  <c r="E78" i="4"/>
  <c r="F81" i="4"/>
  <c r="E92" i="3"/>
  <c r="E66" i="4"/>
  <c r="E83" i="3"/>
  <c r="F32" i="4"/>
  <c r="E53" i="4"/>
  <c r="F36" i="4"/>
  <c r="F89" i="4"/>
  <c r="G45" i="4"/>
  <c r="F69" i="4"/>
  <c r="E50" i="4"/>
  <c r="E29" i="4"/>
  <c r="F99" i="4"/>
  <c r="F70" i="4"/>
  <c r="E11" i="4"/>
  <c r="F14" i="4"/>
  <c r="G22" i="4"/>
  <c r="G73" i="4"/>
  <c r="F58" i="4"/>
  <c r="E19" i="4"/>
  <c r="G71" i="4"/>
  <c r="G44" i="4"/>
  <c r="F93" i="4"/>
  <c r="F55" i="4"/>
  <c r="F18" i="4"/>
  <c r="E80" i="4"/>
  <c r="E59" i="4"/>
  <c r="G68" i="4"/>
  <c r="E37" i="4"/>
  <c r="G101" i="4"/>
  <c r="F94" i="4"/>
  <c r="E35" i="3"/>
  <c r="G16" i="3"/>
  <c r="F42" i="3"/>
  <c r="G15" i="3"/>
  <c r="G40" i="3"/>
  <c r="G51" i="3"/>
  <c r="E18" i="3"/>
  <c r="G19" i="3"/>
  <c r="E27" i="3"/>
  <c r="G33" i="3"/>
  <c r="G49" i="3"/>
  <c r="E14" i="3"/>
  <c r="F12" i="3"/>
  <c r="G25" i="3"/>
  <c r="G29" i="3"/>
  <c r="G13" i="3"/>
  <c r="G35" i="3"/>
  <c r="F31" i="3"/>
  <c r="E13" i="3"/>
  <c r="F23" i="3"/>
  <c r="G22" i="3"/>
  <c r="E38" i="3"/>
  <c r="E29" i="3"/>
  <c r="G46" i="3"/>
  <c r="F82" i="3"/>
  <c r="E102" i="3"/>
  <c r="F88" i="3"/>
  <c r="G75" i="3"/>
  <c r="F67" i="3"/>
  <c r="F97" i="3"/>
  <c r="F73" i="3"/>
  <c r="F95" i="3"/>
  <c r="E88" i="3"/>
  <c r="E82" i="3"/>
  <c r="F106" i="3"/>
  <c r="F76" i="3"/>
  <c r="G80" i="3"/>
  <c r="E98" i="3"/>
  <c r="F69" i="3"/>
  <c r="G99" i="3"/>
  <c r="G95" i="4"/>
  <c r="E92" i="4"/>
  <c r="G54" i="4"/>
  <c r="E25" i="4"/>
  <c r="F37" i="4"/>
  <c r="G32" i="4"/>
  <c r="E73" i="4"/>
  <c r="G46" i="4"/>
  <c r="G24" i="4"/>
  <c r="F79" i="3"/>
  <c r="G77" i="3"/>
  <c r="G92" i="3"/>
  <c r="G103" i="3"/>
  <c r="F92" i="3"/>
  <c r="F86" i="3"/>
  <c r="G67" i="3"/>
  <c r="F102" i="3"/>
  <c r="E73" i="3"/>
  <c r="E94" i="3"/>
  <c r="E91" i="3"/>
  <c r="E86" i="3"/>
  <c r="F94" i="3"/>
  <c r="G93" i="3"/>
  <c r="G97" i="3"/>
  <c r="F75" i="3"/>
  <c r="G84" i="3"/>
  <c r="F78" i="3"/>
  <c r="G100" i="3"/>
  <c r="E95" i="3"/>
  <c r="G89" i="3"/>
  <c r="F72" i="3"/>
  <c r="E89" i="3"/>
  <c r="G71" i="3"/>
  <c r="F91" i="3"/>
  <c r="G76" i="3"/>
  <c r="E14" i="4"/>
  <c r="G47" i="4"/>
  <c r="G77" i="4"/>
  <c r="G104" i="3"/>
  <c r="E79" i="3"/>
  <c r="G85" i="3"/>
  <c r="E15" i="3"/>
  <c r="E12" i="3"/>
  <c r="E5" i="3"/>
  <c r="F37" i="3"/>
  <c r="G45" i="3"/>
  <c r="G24" i="3"/>
  <c r="G27" i="3"/>
  <c r="F19" i="3"/>
  <c r="E22" i="3"/>
  <c r="G44" i="3"/>
  <c r="E41" i="3"/>
  <c r="F39" i="3"/>
  <c r="F21" i="3"/>
  <c r="F26" i="3"/>
  <c r="E36" i="3"/>
  <c r="F13" i="3"/>
  <c r="F27" i="3"/>
  <c r="F49" i="3"/>
  <c r="F18" i="3"/>
  <c r="F20" i="3"/>
  <c r="G31" i="3"/>
  <c r="F29" i="3"/>
  <c r="F38" i="3"/>
  <c r="E33" i="3"/>
  <c r="F40" i="3"/>
  <c r="G20" i="3"/>
  <c r="G12" i="3"/>
  <c r="E51" i="3"/>
  <c r="G34" i="3"/>
  <c r="G28" i="3"/>
  <c r="E48" i="3"/>
  <c r="F33" i="3"/>
  <c r="E28" i="3"/>
  <c r="E42" i="3"/>
  <c r="F14" i="3"/>
  <c r="E37" i="3"/>
  <c r="F24" i="3"/>
  <c r="E34" i="3"/>
  <c r="E17" i="3"/>
  <c r="F44" i="3"/>
  <c r="F47" i="3"/>
  <c r="F34" i="3"/>
  <c r="G47" i="3"/>
  <c r="G37" i="3"/>
  <c r="G23" i="3"/>
  <c r="F25" i="3"/>
  <c r="G39" i="3"/>
  <c r="F35" i="3"/>
  <c r="G17" i="3"/>
  <c r="F45" i="3"/>
  <c r="E44" i="3"/>
  <c r="F32" i="3"/>
  <c r="G21" i="3"/>
  <c r="G41" i="3"/>
  <c r="F15" i="3"/>
  <c r="G36" i="3"/>
  <c r="G18" i="3"/>
  <c r="E43" i="3"/>
  <c r="E25" i="3"/>
  <c r="E39" i="3"/>
  <c r="E49" i="3"/>
  <c r="E46" i="3"/>
  <c r="E16" i="3"/>
  <c r="E47" i="3"/>
  <c r="E21" i="3"/>
  <c r="E31" i="3"/>
  <c r="F46" i="3"/>
  <c r="G26" i="3"/>
  <c r="E19" i="3"/>
  <c r="E24" i="3"/>
  <c r="G32" i="3"/>
  <c r="F17" i="3"/>
  <c r="G38" i="3"/>
  <c r="E23" i="3"/>
  <c r="E20" i="3"/>
  <c r="F51" i="3"/>
  <c r="F43" i="3"/>
  <c r="F36" i="3"/>
  <c r="F41" i="3"/>
  <c r="E40" i="3"/>
  <c r="G48" i="3"/>
  <c r="E30" i="3"/>
  <c r="F16" i="3"/>
  <c r="E26" i="3"/>
  <c r="F50" i="3"/>
  <c r="G14" i="3"/>
  <c r="F22" i="3"/>
  <c r="F28" i="3"/>
  <c r="E32" i="3"/>
  <c r="E45" i="3"/>
  <c r="G30" i="3"/>
  <c r="E5" i="4"/>
  <c r="G81" i="3"/>
  <c r="F101" i="3"/>
  <c r="G74" i="3"/>
  <c r="F90" i="3"/>
  <c r="G73" i="3"/>
  <c r="E71" i="3"/>
  <c r="F77" i="4"/>
  <c r="G48" i="4"/>
  <c r="F56" i="4"/>
  <c r="G18" i="4"/>
  <c r="G11" i="4"/>
  <c r="G40" i="4"/>
  <c r="G88" i="4"/>
  <c r="E60" i="4"/>
  <c r="G17" i="4"/>
  <c r="E46" i="4"/>
  <c r="E94" i="4"/>
  <c r="G66" i="4"/>
  <c r="E83" i="4"/>
  <c r="F39" i="4"/>
  <c r="E39" i="4"/>
  <c r="F100" i="4"/>
  <c r="E104" i="4"/>
  <c r="F12" i="4"/>
  <c r="E54" i="4"/>
  <c r="F64" i="4"/>
  <c r="E62" i="4"/>
  <c r="F85" i="4"/>
  <c r="E102" i="4"/>
  <c r="E55" i="4"/>
  <c r="E89" i="4"/>
  <c r="F20" i="4"/>
  <c r="E4" i="4"/>
  <c r="E77" i="4"/>
  <c r="G94" i="4"/>
  <c r="G93" i="4"/>
  <c r="G25" i="4"/>
  <c r="F57" i="4"/>
  <c r="E99" i="4"/>
  <c r="G26" i="4"/>
  <c r="F95" i="4"/>
  <c r="F87" i="4"/>
  <c r="E69" i="4"/>
  <c r="F66" i="4"/>
  <c r="F34" i="4"/>
  <c r="F30" i="4"/>
  <c r="E36" i="4"/>
  <c r="G86" i="4"/>
  <c r="E17" i="4"/>
  <c r="G23" i="4"/>
  <c r="G31" i="4"/>
  <c r="F49" i="4"/>
  <c r="F102" i="4"/>
  <c r="E34" i="4"/>
  <c r="F13" i="4"/>
  <c r="G64" i="4"/>
  <c r="E64" i="4"/>
  <c r="G13" i="4"/>
  <c r="G69" i="4"/>
  <c r="G81" i="4"/>
  <c r="E52" i="4"/>
  <c r="E18" i="4"/>
  <c r="F31" i="4"/>
  <c r="F62" i="4"/>
  <c r="E42" i="4"/>
  <c r="F83" i="4"/>
  <c r="E96" i="4"/>
  <c r="G52" i="4"/>
  <c r="G90" i="4"/>
  <c r="G19" i="4"/>
  <c r="F24" i="4"/>
  <c r="G105" i="4"/>
  <c r="F98" i="4"/>
  <c r="G41" i="4"/>
  <c r="G99" i="4"/>
  <c r="E86" i="4"/>
  <c r="G58" i="4"/>
  <c r="F105" i="4"/>
  <c r="G74" i="4"/>
  <c r="E76" i="4"/>
  <c r="G53" i="4"/>
  <c r="F44" i="4"/>
  <c r="F23" i="4"/>
  <c r="E88" i="4"/>
  <c r="G96" i="4"/>
  <c r="F47" i="4"/>
  <c r="E79" i="4"/>
  <c r="E91" i="4"/>
  <c r="G96" i="3"/>
  <c r="E97" i="3"/>
  <c r="G87" i="3"/>
  <c r="E104" i="3"/>
  <c r="E99" i="3"/>
  <c r="G106" i="3"/>
  <c r="E101" i="3"/>
  <c r="E70" i="3"/>
  <c r="E80" i="3"/>
  <c r="F71" i="3"/>
  <c r="E93" i="3"/>
  <c r="G82" i="3"/>
  <c r="G70" i="3"/>
  <c r="F103" i="3"/>
  <c r="G101" i="3"/>
  <c r="F83" i="3"/>
  <c r="G91" i="3"/>
  <c r="F99" i="3"/>
  <c r="F80" i="3"/>
  <c r="G68" i="3"/>
  <c r="F77" i="3"/>
  <c r="F68" i="3"/>
  <c r="E87" i="3"/>
  <c r="E90" i="3"/>
  <c r="E68" i="3"/>
  <c r="F105" i="3"/>
  <c r="F74" i="3"/>
  <c r="F70" i="3"/>
  <c r="E103" i="3"/>
  <c r="E96" i="3"/>
  <c r="G69" i="3"/>
  <c r="E76" i="3"/>
  <c r="G98" i="3"/>
  <c r="F85" i="3"/>
  <c r="G102" i="3"/>
  <c r="E60" i="3"/>
  <c r="E72" i="3"/>
  <c r="E78" i="3"/>
  <c r="G105" i="3"/>
  <c r="F100" i="3"/>
  <c r="G94" i="3"/>
  <c r="E84" i="3"/>
  <c r="E100" i="3"/>
  <c r="F104" i="3"/>
  <c r="G79" i="3"/>
  <c r="F93" i="3"/>
  <c r="F96" i="3"/>
  <c r="F98" i="3"/>
  <c r="F87" i="3"/>
  <c r="E105" i="3"/>
  <c r="G88" i="3"/>
  <c r="F84" i="3"/>
  <c r="E81" i="3"/>
  <c r="E69" i="3"/>
  <c r="G86" i="3"/>
  <c r="E75" i="3"/>
  <c r="E67" i="3"/>
  <c r="E85" i="3"/>
  <c r="E77" i="3"/>
  <c r="E106" i="3"/>
  <c r="E7" i="3" l="1"/>
  <c r="E6" i="4"/>
  <c r="E62" i="3"/>
  <c r="J30" i="1" l="1"/>
  <c r="J29" i="1"/>
  <c r="J28" i="1"/>
  <c r="J31" i="1"/>
  <c r="I30" i="1"/>
  <c r="I29" i="1"/>
  <c r="I31" i="1"/>
  <c r="K31" i="1" s="1"/>
  <c r="I28" i="1"/>
  <c r="K28" i="1" s="1"/>
  <c r="J26" i="1"/>
  <c r="J27" i="1"/>
  <c r="I27" i="1"/>
  <c r="K27" i="1" s="1"/>
  <c r="I41" i="1"/>
  <c r="F11" i="5"/>
  <c r="F10" i="5"/>
  <c r="I22" i="1"/>
  <c r="I15" i="1"/>
  <c r="I26" i="1"/>
  <c r="I24" i="1"/>
  <c r="I19" i="1"/>
  <c r="I13" i="1"/>
  <c r="I42" i="1"/>
  <c r="I47" i="1"/>
  <c r="I51" i="1"/>
  <c r="I20" i="1"/>
  <c r="I21" i="1"/>
  <c r="I17" i="1"/>
  <c r="I16" i="1"/>
  <c r="I18" i="1"/>
  <c r="I39" i="1"/>
  <c r="I25" i="1"/>
  <c r="I14" i="1"/>
  <c r="I23" i="1"/>
  <c r="J20" i="1"/>
  <c r="I46" i="1"/>
  <c r="I36" i="1"/>
  <c r="I37" i="1"/>
  <c r="I40" i="1"/>
  <c r="I45" i="1"/>
  <c r="I48" i="1"/>
  <c r="F7" i="5"/>
  <c r="I49" i="1"/>
  <c r="I43" i="1"/>
  <c r="F15" i="5"/>
  <c r="I38" i="1"/>
  <c r="F9" i="5"/>
  <c r="I44" i="1"/>
  <c r="I50" i="1"/>
  <c r="J21" i="1"/>
  <c r="J18" i="1"/>
  <c r="J14" i="1"/>
  <c r="J19" i="1"/>
  <c r="J17" i="1"/>
  <c r="J24" i="1"/>
  <c r="J25" i="1"/>
  <c r="J13" i="1"/>
  <c r="J22" i="1"/>
  <c r="J16" i="1"/>
  <c r="J23" i="1"/>
  <c r="J15" i="1"/>
  <c r="K29" i="1" l="1"/>
  <c r="K30" i="1"/>
  <c r="K26" i="1"/>
  <c r="K15" i="1"/>
  <c r="K20" i="1"/>
  <c r="K16" i="1"/>
  <c r="K13" i="1"/>
  <c r="K22" i="1"/>
  <c r="K14" i="1"/>
  <c r="K23" i="1"/>
  <c r="K19" i="1"/>
  <c r="K25" i="1"/>
  <c r="K24" i="1"/>
  <c r="K21" i="1"/>
  <c r="K18" i="1"/>
  <c r="K17" i="1"/>
</calcChain>
</file>

<file path=xl/sharedStrings.xml><?xml version="1.0" encoding="utf-8"?>
<sst xmlns="http://schemas.openxmlformats.org/spreadsheetml/2006/main" count="144" uniqueCount="85">
  <si>
    <t>Monthly Indexes</t>
  </si>
  <si>
    <t>Date</t>
  </si>
  <si>
    <t>Diesel</t>
  </si>
  <si>
    <t>Unleaded</t>
  </si>
  <si>
    <t>WORKSHEET FOR DETERMINING FUEL AND ASPHALT BINDER INDEX ADJUSTMENTS</t>
  </si>
  <si>
    <r>
      <t xml:space="preserve">HOW TO USE:  </t>
    </r>
    <r>
      <rPr>
        <sz val="12"/>
        <rFont val="Arial"/>
        <family val="2"/>
      </rPr>
      <t>Select Base Index Date (cell B8) and Current Index Date (cell H8).</t>
    </r>
  </si>
  <si>
    <t>Spreadsheet uses stored index data to calculate and present index adjustments for eligible items of work.</t>
  </si>
  <si>
    <t>Adjustments to be applied in accordance with contract provisions.</t>
  </si>
  <si>
    <t>Select Base Indexes</t>
  </si>
  <si>
    <t>Select Current Indexes</t>
  </si>
  <si>
    <t>Asphalt Binder</t>
  </si>
  <si>
    <t xml:space="preserve">                                                                               </t>
  </si>
  <si>
    <t>Items of Work Eligible for Fuel Adjustments *</t>
  </si>
  <si>
    <t xml:space="preserve">Unit </t>
  </si>
  <si>
    <t>Gallons Per Unit</t>
  </si>
  <si>
    <t>Monetary Adjustment per Unit</t>
  </si>
  <si>
    <t>Combined</t>
  </si>
  <si>
    <t>Excavation (Unclassified, Borrow, etc.)</t>
  </si>
  <si>
    <t>CY</t>
  </si>
  <si>
    <t>Embankment in Place</t>
  </si>
  <si>
    <t>SY</t>
  </si>
  <si>
    <t>Graded Aggregate Base Course 6" Uniform</t>
  </si>
  <si>
    <t>Graded Aggregate Base Course 8" Uniform</t>
  </si>
  <si>
    <t>Hot Mix Asphalt (Base, Binder, Surface Courses)</t>
  </si>
  <si>
    <t>TON</t>
  </si>
  <si>
    <t>Portland Cement Concrete Pavements</t>
  </si>
  <si>
    <t>Structural Concrete</t>
  </si>
  <si>
    <t>Reinforced Concrete Pipe (24" or less)</t>
  </si>
  <si>
    <t>LF</t>
  </si>
  <si>
    <t>Reinforced Concrete Pipe (greater than 24")</t>
  </si>
  <si>
    <t>* Eligible for index adjustment when specified in contract.</t>
  </si>
  <si>
    <t>Items of Work Eligible for A.C. Binder Adjustments *</t>
  </si>
  <si>
    <t>AC Binder Tons 
per Unit</t>
  </si>
  <si>
    <t>Monetary Adjustment 
per Unit (for AC Binder)</t>
  </si>
  <si>
    <t>Liquid Asphalt Binder (PG64-22)</t>
  </si>
  <si>
    <t>Liquid Asphalt Binder (PG76-22)</t>
  </si>
  <si>
    <t>Base Index Chart and Index Change for Diesel Fuel</t>
  </si>
  <si>
    <t>Base Index Value</t>
  </si>
  <si>
    <t>Current Index Value</t>
  </si>
  <si>
    <t>Index Change Value</t>
  </si>
  <si>
    <t>DECREASE</t>
  </si>
  <si>
    <t>INCREASE</t>
  </si>
  <si>
    <t>Base Index Chart and Index Change for Unleaded Fuel</t>
  </si>
  <si>
    <t>Base Index Chart and Index Change for Asphalt Cement Binder</t>
  </si>
  <si>
    <t>Adjustments per Square Yard of Bituminous Surfacing</t>
  </si>
  <si>
    <t>Asphalt Binder Base Index</t>
  </si>
  <si>
    <t>Asphalt Binder Current Index</t>
  </si>
  <si>
    <t>Bituminous Surfacing Type</t>
  </si>
  <si>
    <t>Unit</t>
  </si>
  <si>
    <t>Minimum Gallons of Liquid per SY</t>
  </si>
  <si>
    <t>Tons of A.C. Binder per SY</t>
  </si>
  <si>
    <t>Adjustment per Square Yard</t>
  </si>
  <si>
    <t>Single Treatment</t>
  </si>
  <si>
    <t>Double Treatment</t>
  </si>
  <si>
    <t>Asphalt Surface Treatment</t>
  </si>
  <si>
    <t>Emulsion for High Performance Chip Seal (Macrosurfacing)</t>
  </si>
  <si>
    <t>Gal</t>
  </si>
  <si>
    <t xml:space="preserve">   Triple Treatment</t>
  </si>
  <si>
    <t>Graded Aggregate Base Course 10" Uniform</t>
  </si>
  <si>
    <t>Type A</t>
  </si>
  <si>
    <t>Type B</t>
  </si>
  <si>
    <t>Type C</t>
  </si>
  <si>
    <t>Full Depth Asphalt Pavement Patching - 4" (Fuel)</t>
  </si>
  <si>
    <t>Full Depth Asphalt Pavement Patching - 6" (Fuel)</t>
  </si>
  <si>
    <t>Full Depth Asphalt Pavement Patching - 8" (Fuel)</t>
  </si>
  <si>
    <t>Full Depth Asphalt Pavement Patching - 10" (Fuel)</t>
  </si>
  <si>
    <t>Full Depth Asphalt Pavement Patching - 12" (Fuel)</t>
  </si>
  <si>
    <t>Full Depth Asphalt Pavement Patching - 4" (AC Binder)</t>
  </si>
  <si>
    <t>Full Depth Asphalt Pavement Patching - 6" (AC Binder)</t>
  </si>
  <si>
    <t>Full Depth Asphalt Pavement Patching - 8" (AC Binder)</t>
  </si>
  <si>
    <t>Full Depth Asphalt Pavement Patching - 10" (AC Binder)</t>
  </si>
  <si>
    <t>Full Depth Asphalt Pavement Patching - 12" (AC Binder)</t>
  </si>
  <si>
    <t>Microsurfacing Surface Course</t>
  </si>
  <si>
    <t>Microsurfacing Leveling/Rut Fill</t>
  </si>
  <si>
    <t>Preventative Maintenance Thin Lift Seal Course (80 psy @ 6.5% AC)</t>
  </si>
  <si>
    <t>Asph Surf Trmt - Double Treatment - Type A (0.55 gals/sy emulsion)</t>
  </si>
  <si>
    <t>Asph Surf Trmt - Double Treatment - Type B (0.46 gals/sy emulsion)</t>
  </si>
  <si>
    <t>Asph Surf Trmt - Double Treatment - Type C (0.48 gals/sy emulsion)</t>
  </si>
  <si>
    <t>Asph Surf Trmt - Single Treatment (0.28 gals/sy emulsion)</t>
  </si>
  <si>
    <t xml:space="preserve"> </t>
  </si>
  <si>
    <t>Asph Surf Trmt - Triple Treatment (0.71 gal/sy emulsion)</t>
  </si>
  <si>
    <t>Smooth Wall Pipe (24" or less)</t>
  </si>
  <si>
    <t>Smooth Wall Pipe (greater than 24")</t>
  </si>
  <si>
    <t>Corrugated Wall Pipe (24" or less)</t>
  </si>
  <si>
    <t>Corrugated Wall  Pipe (greater than 24")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</si>
</sst>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  <numFmt numFmtId="165" formatCode="0.000"/>
    <numFmt numFmtId="166" formatCode="#,##0.0000_);\(#,##0.0000\)"/>
    <numFmt numFmtId="167" formatCode="&quot;$&quot;#,##0.00"/>
    <numFmt numFmtId="168" formatCode="&quot;$&quot;#,##0.0000"/>
    <numFmt numFmtId="169" formatCode="&quot;$&quot;#,##0.0000_);\(&quot;$&quot;#,##0.0000\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7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theme="0" tint="-4.9989318521683403E-2"/>
      </right>
      <top style="thick">
        <color indexed="64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indexed="64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indexed="64"/>
      </right>
      <top style="thick">
        <color indexed="64"/>
      </top>
      <bottom style="thick">
        <color theme="0" tint="-4.9989318521683403E-2"/>
      </bottom>
      <diagonal/>
    </border>
    <border>
      <left style="thick">
        <color indexed="64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indexed="64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indexed="64"/>
      </left>
      <right style="thick">
        <color theme="0" tint="-4.9989318521683403E-2"/>
      </right>
      <top style="thick">
        <color theme="0" tint="-4.9989318521683403E-2"/>
      </top>
      <bottom style="thick">
        <color indexed="64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indexed="64"/>
      </bottom>
      <diagonal/>
    </border>
    <border>
      <left style="thick">
        <color theme="0" tint="-4.9989318521683403E-2"/>
      </left>
      <right style="thick">
        <color indexed="64"/>
      </right>
      <top style="thick">
        <color theme="0" tint="-4.9989318521683403E-2"/>
      </top>
      <bottom style="thick">
        <color indexed="64"/>
      </bottom>
      <diagonal/>
    </border>
  </borders>
  <cellStyleXfs count="212">
    <xf numFmtId="0" fontId="0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4" fillId="0" borderId="0"/>
    <xf numFmtId="0" fontId="40" fillId="0" borderId="0"/>
    <xf numFmtId="43" fontId="25" fillId="0" borderId="0" applyFont="0" applyFill="0" applyBorder="0" applyAlignment="0" applyProtection="0"/>
    <xf numFmtId="0" fontId="23" fillId="0" borderId="0"/>
    <xf numFmtId="0" fontId="22" fillId="0" borderId="0"/>
    <xf numFmtId="0" fontId="25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41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" fillId="0" borderId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89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15" fontId="0" fillId="3" borderId="0" xfId="0" applyNumberFormat="1" applyFill="1" applyProtection="1">
      <protection hidden="1"/>
    </xf>
    <xf numFmtId="164" fontId="25" fillId="3" borderId="0" xfId="2" applyNumberFormat="1" applyFill="1" applyProtection="1">
      <protection hidden="1"/>
    </xf>
    <xf numFmtId="15" fontId="0" fillId="4" borderId="9" xfId="0" applyNumberFormat="1" applyFill="1" applyBorder="1" applyAlignment="1" applyProtection="1">
      <alignment horizontal="center"/>
      <protection locked="0"/>
    </xf>
    <xf numFmtId="15" fontId="0" fillId="0" borderId="9" xfId="0" applyNumberFormat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Protection="1">
      <protection hidden="1"/>
    </xf>
    <xf numFmtId="0" fontId="0" fillId="2" borderId="17" xfId="0" applyFill="1" applyBorder="1" applyProtection="1">
      <protection hidden="1"/>
    </xf>
    <xf numFmtId="0" fontId="0" fillId="2" borderId="18" xfId="0" applyFill="1" applyBorder="1" applyProtection="1">
      <protection hidden="1"/>
    </xf>
    <xf numFmtId="168" fontId="25" fillId="3" borderId="9" xfId="2" applyNumberFormat="1" applyFill="1" applyBorder="1" applyProtection="1">
      <protection hidden="1"/>
    </xf>
    <xf numFmtId="168" fontId="25" fillId="3" borderId="19" xfId="2" applyNumberFormat="1" applyFill="1" applyBorder="1" applyProtection="1">
      <protection hidden="1"/>
    </xf>
    <xf numFmtId="168" fontId="25" fillId="5" borderId="9" xfId="2" applyNumberFormat="1" applyFill="1" applyBorder="1" applyProtection="1">
      <protection hidden="1"/>
    </xf>
    <xf numFmtId="0" fontId="0" fillId="2" borderId="20" xfId="0" applyFill="1" applyBorder="1" applyProtection="1">
      <protection hidden="1"/>
    </xf>
    <xf numFmtId="168" fontId="25" fillId="2" borderId="20" xfId="2" applyNumberFormat="1" applyFill="1" applyBorder="1" applyProtection="1">
      <protection hidden="1"/>
    </xf>
    <xf numFmtId="168" fontId="25" fillId="2" borderId="21" xfId="2" applyNumberFormat="1" applyFill="1" applyBorder="1" applyProtection="1">
      <protection hidden="1"/>
    </xf>
    <xf numFmtId="0" fontId="0" fillId="2" borderId="22" xfId="0" applyFill="1" applyBorder="1" applyProtection="1">
      <protection hidden="1"/>
    </xf>
    <xf numFmtId="168" fontId="25" fillId="2" borderId="22" xfId="2" applyNumberFormat="1" applyFill="1" applyBorder="1" applyProtection="1">
      <protection hidden="1"/>
    </xf>
    <xf numFmtId="168" fontId="25" fillId="2" borderId="23" xfId="2" applyNumberFormat="1" applyFill="1" applyBorder="1" applyProtection="1">
      <protection hidden="1"/>
    </xf>
    <xf numFmtId="0" fontId="0" fillId="2" borderId="24" xfId="0" applyFill="1" applyBorder="1" applyProtection="1">
      <protection hidden="1"/>
    </xf>
    <xf numFmtId="168" fontId="25" fillId="2" borderId="24" xfId="2" applyNumberFormat="1" applyFill="1" applyBorder="1" applyProtection="1">
      <protection hidden="1"/>
    </xf>
    <xf numFmtId="168" fontId="25" fillId="2" borderId="25" xfId="2" applyNumberFormat="1" applyFill="1" applyBorder="1" applyProtection="1">
      <protection hidden="1"/>
    </xf>
    <xf numFmtId="0" fontId="0" fillId="3" borderId="0" xfId="0" applyFill="1" applyAlignment="1" applyProtection="1">
      <alignment horizontal="center" vertical="center" textRotation="255"/>
      <protection hidden="1"/>
    </xf>
    <xf numFmtId="168" fontId="25" fillId="3" borderId="0" xfId="2" applyNumberFormat="1" applyFill="1" applyBorder="1" applyProtection="1">
      <protection hidden="1"/>
    </xf>
    <xf numFmtId="167" fontId="25" fillId="3" borderId="9" xfId="2" applyNumberFormat="1" applyFill="1" applyBorder="1" applyProtection="1">
      <protection hidden="1"/>
    </xf>
    <xf numFmtId="167" fontId="25" fillId="5" borderId="9" xfId="2" applyNumberFormat="1" applyFill="1" applyBorder="1" applyProtection="1">
      <protection hidden="1"/>
    </xf>
    <xf numFmtId="167" fontId="25" fillId="2" borderId="22" xfId="2" applyNumberFormat="1" applyFill="1" applyBorder="1" applyProtection="1">
      <protection hidden="1"/>
    </xf>
    <xf numFmtId="0" fontId="0" fillId="2" borderId="0" xfId="0" applyFill="1" applyAlignment="1">
      <alignment horizontal="right"/>
    </xf>
    <xf numFmtId="44" fontId="0" fillId="0" borderId="9" xfId="2" applyFont="1" applyFill="1" applyBorder="1"/>
    <xf numFmtId="0" fontId="33" fillId="2" borderId="9" xfId="0" applyFont="1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 wrapText="1"/>
    </xf>
    <xf numFmtId="44" fontId="0" fillId="2" borderId="9" xfId="2" applyFont="1" applyFill="1" applyBorder="1"/>
    <xf numFmtId="168" fontId="25" fillId="2" borderId="20" xfId="2" applyNumberFormat="1" applyFont="1" applyFill="1" applyBorder="1" applyProtection="1">
      <protection hidden="1"/>
    </xf>
    <xf numFmtId="168" fontId="25" fillId="2" borderId="26" xfId="2" applyNumberFormat="1" applyFont="1" applyFill="1" applyBorder="1" applyProtection="1">
      <protection hidden="1"/>
    </xf>
    <xf numFmtId="168" fontId="25" fillId="2" borderId="22" xfId="2" applyNumberFormat="1" applyFont="1" applyFill="1" applyBorder="1" applyProtection="1">
      <protection hidden="1"/>
    </xf>
    <xf numFmtId="0" fontId="0" fillId="2" borderId="27" xfId="0" applyFill="1" applyBorder="1" applyProtection="1">
      <protection hidden="1"/>
    </xf>
    <xf numFmtId="168" fontId="25" fillId="2" borderId="28" xfId="2" applyNumberFormat="1" applyFont="1" applyFill="1" applyBorder="1" applyProtection="1">
      <protection hidden="1"/>
    </xf>
    <xf numFmtId="168" fontId="25" fillId="2" borderId="27" xfId="2" applyNumberFormat="1" applyFill="1" applyBorder="1" applyProtection="1">
      <protection hidden="1"/>
    </xf>
    <xf numFmtId="168" fontId="25" fillId="2" borderId="29" xfId="2" applyNumberFormat="1" applyFill="1" applyBorder="1" applyProtection="1">
      <protection hidden="1"/>
    </xf>
    <xf numFmtId="0" fontId="0" fillId="2" borderId="30" xfId="0" applyFill="1" applyBorder="1" applyProtection="1">
      <protection hidden="1"/>
    </xf>
    <xf numFmtId="168" fontId="25" fillId="2" borderId="30" xfId="2" applyNumberFormat="1" applyFont="1" applyFill="1" applyBorder="1" applyProtection="1">
      <protection hidden="1"/>
    </xf>
    <xf numFmtId="168" fontId="25" fillId="2" borderId="30" xfId="2" applyNumberFormat="1" applyFill="1" applyBorder="1" applyProtection="1">
      <protection hidden="1"/>
    </xf>
    <xf numFmtId="168" fontId="25" fillId="2" borderId="31" xfId="2" applyNumberFormat="1" applyFill="1" applyBorder="1" applyProtection="1">
      <protection hidden="1"/>
    </xf>
    <xf numFmtId="0" fontId="0" fillId="2" borderId="32" xfId="0" applyFill="1" applyBorder="1" applyProtection="1">
      <protection hidden="1"/>
    </xf>
    <xf numFmtId="0" fontId="0" fillId="2" borderId="33" xfId="0" applyFill="1" applyBorder="1" applyProtection="1">
      <protection hidden="1"/>
    </xf>
    <xf numFmtId="0" fontId="0" fillId="2" borderId="34" xfId="0" applyFill="1" applyBorder="1" applyProtection="1">
      <protection hidden="1"/>
    </xf>
    <xf numFmtId="0" fontId="0" fillId="2" borderId="35" xfId="0" applyFill="1" applyBorder="1" applyProtection="1">
      <protection hidden="1"/>
    </xf>
    <xf numFmtId="0" fontId="0" fillId="2" borderId="36" xfId="0" applyFill="1" applyBorder="1" applyProtection="1">
      <protection hidden="1"/>
    </xf>
    <xf numFmtId="168" fontId="25" fillId="2" borderId="24" xfId="2" applyNumberFormat="1" applyFont="1" applyFill="1" applyBorder="1" applyProtection="1">
      <protection hidden="1"/>
    </xf>
    <xf numFmtId="0" fontId="0" fillId="2" borderId="26" xfId="0" applyFill="1" applyBorder="1" applyProtection="1">
      <protection hidden="1"/>
    </xf>
    <xf numFmtId="0" fontId="0" fillId="2" borderId="37" xfId="0" applyFill="1" applyBorder="1" applyProtection="1">
      <protection hidden="1"/>
    </xf>
    <xf numFmtId="0" fontId="0" fillId="2" borderId="38" xfId="0" applyFill="1" applyBorder="1" applyProtection="1">
      <protection hidden="1"/>
    </xf>
    <xf numFmtId="0" fontId="0" fillId="2" borderId="39" xfId="0" applyFill="1" applyBorder="1" applyProtection="1">
      <protection hidden="1"/>
    </xf>
    <xf numFmtId="167" fontId="25" fillId="2" borderId="37" xfId="2" applyNumberFormat="1" applyFill="1" applyBorder="1" applyProtection="1">
      <protection hidden="1"/>
    </xf>
    <xf numFmtId="8" fontId="25" fillId="3" borderId="0" xfId="2" applyNumberFormat="1" applyFill="1" applyProtection="1">
      <protection hidden="1"/>
    </xf>
    <xf numFmtId="0" fontId="25" fillId="2" borderId="0" xfId="0" applyFont="1" applyFill="1" applyProtection="1">
      <protection hidden="1"/>
    </xf>
    <xf numFmtId="0" fontId="0" fillId="2" borderId="40" xfId="0" applyFill="1" applyBorder="1" applyProtection="1">
      <protection hidden="1"/>
    </xf>
    <xf numFmtId="167" fontId="25" fillId="2" borderId="30" xfId="2" applyNumberFormat="1" applyFill="1" applyBorder="1" applyProtection="1">
      <protection hidden="1"/>
    </xf>
    <xf numFmtId="0" fontId="0" fillId="2" borderId="41" xfId="0" applyFill="1" applyBorder="1" applyProtection="1">
      <protection hidden="1"/>
    </xf>
    <xf numFmtId="167" fontId="25" fillId="2" borderId="42" xfId="2" applyNumberFormat="1" applyFill="1" applyBorder="1" applyProtection="1">
      <protection hidden="1"/>
    </xf>
    <xf numFmtId="167" fontId="25" fillId="2" borderId="43" xfId="2" applyNumberFormat="1" applyFont="1" applyFill="1" applyBorder="1" applyProtection="1">
      <protection hidden="1"/>
    </xf>
    <xf numFmtId="167" fontId="25" fillId="2" borderId="43" xfId="2" applyNumberFormat="1" applyFill="1" applyBorder="1" applyProtection="1">
      <protection hidden="1"/>
    </xf>
    <xf numFmtId="167" fontId="25" fillId="2" borderId="44" xfId="2" applyNumberFormat="1" applyFill="1" applyBorder="1" applyProtection="1">
      <protection hidden="1"/>
    </xf>
    <xf numFmtId="167" fontId="25" fillId="2" borderId="45" xfId="2" applyNumberFormat="1" applyFill="1" applyBorder="1" applyProtection="1">
      <protection hidden="1"/>
    </xf>
    <xf numFmtId="0" fontId="0" fillId="2" borderId="46" xfId="0" applyFill="1" applyBorder="1" applyProtection="1">
      <protection hidden="1"/>
    </xf>
    <xf numFmtId="164" fontId="25" fillId="0" borderId="0" xfId="2" applyNumberFormat="1" applyFill="1" applyProtection="1">
      <protection hidden="1"/>
    </xf>
    <xf numFmtId="0" fontId="34" fillId="2" borderId="47" xfId="0" applyFont="1" applyFill="1" applyBorder="1" applyAlignment="1">
      <alignment horizontal="left"/>
    </xf>
    <xf numFmtId="0" fontId="0" fillId="2" borderId="47" xfId="0" applyFill="1" applyBorder="1"/>
    <xf numFmtId="44" fontId="0" fillId="2" borderId="47" xfId="2" applyFont="1" applyFill="1" applyBorder="1"/>
    <xf numFmtId="0" fontId="0" fillId="2" borderId="9" xfId="0" applyFill="1" applyBorder="1" applyAlignment="1">
      <alignment horizontal="left" indent="1"/>
    </xf>
    <xf numFmtId="0" fontId="0" fillId="2" borderId="9" xfId="0" applyFill="1" applyBorder="1" applyAlignment="1">
      <alignment horizontal="center"/>
    </xf>
    <xf numFmtId="0" fontId="35" fillId="2" borderId="5" xfId="0" applyFont="1" applyFill="1" applyBorder="1" applyAlignment="1">
      <alignment horizontal="left"/>
    </xf>
    <xf numFmtId="0" fontId="0" fillId="2" borderId="6" xfId="0" applyFill="1" applyBorder="1"/>
    <xf numFmtId="44" fontId="0" fillId="2" borderId="7" xfId="2" applyFont="1" applyFill="1" applyBorder="1"/>
    <xf numFmtId="0" fontId="0" fillId="6" borderId="0" xfId="0" applyFill="1"/>
    <xf numFmtId="0" fontId="0" fillId="7" borderId="68" xfId="0" applyFill="1" applyBorder="1"/>
    <xf numFmtId="0" fontId="27" fillId="7" borderId="69" xfId="0" applyFont="1" applyFill="1" applyBorder="1"/>
    <xf numFmtId="0" fontId="0" fillId="7" borderId="69" xfId="0" applyFill="1" applyBorder="1"/>
    <xf numFmtId="0" fontId="0" fillId="7" borderId="70" xfId="0" applyFill="1" applyBorder="1"/>
    <xf numFmtId="0" fontId="0" fillId="7" borderId="71" xfId="0" applyFill="1" applyBorder="1"/>
    <xf numFmtId="0" fontId="28" fillId="7" borderId="72" xfId="0" applyFont="1" applyFill="1" applyBorder="1" applyAlignment="1">
      <alignment horizontal="left" indent="2"/>
    </xf>
    <xf numFmtId="0" fontId="0" fillId="7" borderId="72" xfId="0" applyFill="1" applyBorder="1"/>
    <xf numFmtId="0" fontId="0" fillId="7" borderId="73" xfId="0" applyFill="1" applyBorder="1"/>
    <xf numFmtId="0" fontId="29" fillId="7" borderId="72" xfId="0" applyFont="1" applyFill="1" applyBorder="1" applyAlignment="1">
      <alignment horizontal="left" indent="2"/>
    </xf>
    <xf numFmtId="0" fontId="0" fillId="7" borderId="74" xfId="0" applyFill="1" applyBorder="1"/>
    <xf numFmtId="0" fontId="29" fillId="7" borderId="75" xfId="0" applyFont="1" applyFill="1" applyBorder="1" applyAlignment="1">
      <alignment horizontal="left" indent="2"/>
    </xf>
    <xf numFmtId="0" fontId="0" fillId="7" borderId="75" xfId="0" applyFill="1" applyBorder="1"/>
    <xf numFmtId="0" fontId="0" fillId="7" borderId="76" xfId="0" applyFill="1" applyBorder="1"/>
    <xf numFmtId="0" fontId="0" fillId="7" borderId="1" xfId="0" applyFill="1" applyBorder="1"/>
    <xf numFmtId="0" fontId="0" fillId="7" borderId="4" xfId="0" applyFill="1" applyBorder="1"/>
    <xf numFmtId="0" fontId="0" fillId="7" borderId="10" xfId="0" applyFill="1" applyBorder="1"/>
    <xf numFmtId="0" fontId="0" fillId="7" borderId="2" xfId="0" applyFill="1" applyBorder="1"/>
    <xf numFmtId="0" fontId="0" fillId="7" borderId="0" xfId="0" applyFill="1"/>
    <xf numFmtId="0" fontId="0" fillId="7" borderId="11" xfId="0" applyFill="1" applyBorder="1"/>
    <xf numFmtId="0" fontId="0" fillId="7" borderId="3" xfId="0" applyFill="1" applyBorder="1"/>
    <xf numFmtId="0" fontId="0" fillId="7" borderId="8" xfId="0" applyFill="1" applyBorder="1"/>
    <xf numFmtId="0" fontId="0" fillId="7" borderId="12" xfId="0" applyFill="1" applyBorder="1"/>
    <xf numFmtId="165" fontId="0" fillId="7" borderId="11" xfId="0" applyNumberFormat="1" applyFill="1" applyBorder="1"/>
    <xf numFmtId="0" fontId="37" fillId="8" borderId="9" xfId="0" applyFont="1" applyFill="1" applyBorder="1" applyAlignment="1">
      <alignment horizontal="center" wrapText="1"/>
    </xf>
    <xf numFmtId="0" fontId="37" fillId="8" borderId="9" xfId="0" applyFont="1" applyFill="1" applyBorder="1" applyAlignment="1">
      <alignment horizontal="center"/>
    </xf>
    <xf numFmtId="44" fontId="0" fillId="6" borderId="7" xfId="2" applyFont="1" applyFill="1" applyBorder="1" applyAlignment="1">
      <alignment horizontal="center"/>
    </xf>
    <xf numFmtId="164" fontId="0" fillId="6" borderId="7" xfId="2" applyNumberFormat="1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39" fontId="0" fillId="6" borderId="9" xfId="1" applyNumberFormat="1" applyFont="1" applyFill="1" applyBorder="1" applyAlignment="1">
      <alignment horizontal="center"/>
    </xf>
    <xf numFmtId="44" fontId="0" fillId="6" borderId="9" xfId="2" applyFont="1" applyFill="1" applyBorder="1" applyAlignment="1">
      <alignment horizontal="center"/>
    </xf>
    <xf numFmtId="0" fontId="0" fillId="6" borderId="47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0" fontId="0" fillId="6" borderId="9" xfId="0" applyFill="1" applyBorder="1" applyAlignment="1">
      <alignment horizontal="left"/>
    </xf>
    <xf numFmtId="0" fontId="38" fillId="8" borderId="9" xfId="0" applyFont="1" applyFill="1" applyBorder="1" applyAlignment="1">
      <alignment horizontal="center" wrapText="1"/>
    </xf>
    <xf numFmtId="0" fontId="38" fillId="8" borderId="9" xfId="0" applyFont="1" applyFill="1" applyBorder="1" applyAlignment="1">
      <alignment horizontal="center"/>
    </xf>
    <xf numFmtId="0" fontId="32" fillId="7" borderId="13" xfId="0" applyFont="1" applyFill="1" applyBorder="1" applyAlignment="1">
      <alignment horizontal="left" vertical="top"/>
    </xf>
    <xf numFmtId="0" fontId="0" fillId="7" borderId="14" xfId="0" applyFill="1" applyBorder="1"/>
    <xf numFmtId="0" fontId="0" fillId="7" borderId="15" xfId="0" applyFill="1" applyBorder="1"/>
    <xf numFmtId="0" fontId="32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center"/>
    </xf>
    <xf numFmtId="166" fontId="0" fillId="7" borderId="0" xfId="1" applyNumberFormat="1" applyFont="1" applyFill="1" applyBorder="1" applyAlignment="1">
      <alignment horizontal="center"/>
    </xf>
    <xf numFmtId="167" fontId="0" fillId="7" borderId="0" xfId="2" applyNumberFormat="1" applyFont="1" applyFill="1" applyBorder="1" applyAlignment="1">
      <alignment horizontal="center"/>
    </xf>
    <xf numFmtId="0" fontId="39" fillId="7" borderId="16" xfId="0" applyFont="1" applyFill="1" applyBorder="1" applyAlignment="1">
      <alignment horizontal="center"/>
    </xf>
    <xf numFmtId="0" fontId="30" fillId="7" borderId="0" xfId="0" applyFont="1" applyFill="1"/>
    <xf numFmtId="0" fontId="30" fillId="7" borderId="8" xfId="0" applyFont="1" applyFill="1" applyBorder="1"/>
    <xf numFmtId="0" fontId="35" fillId="6" borderId="9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left"/>
    </xf>
    <xf numFmtId="0" fontId="25" fillId="6" borderId="47" xfId="0" applyFont="1" applyFill="1" applyBorder="1" applyAlignment="1">
      <alignment horizontal="left"/>
    </xf>
    <xf numFmtId="167" fontId="0" fillId="3" borderId="0" xfId="0" applyNumberFormat="1" applyFill="1" applyAlignment="1" applyProtection="1">
      <alignment horizontal="right"/>
      <protection hidden="1"/>
    </xf>
    <xf numFmtId="168" fontId="0" fillId="3" borderId="0" xfId="0" applyNumberFormat="1" applyFill="1" applyAlignment="1" applyProtection="1">
      <alignment horizontal="right"/>
      <protection hidden="1"/>
    </xf>
    <xf numFmtId="7" fontId="0" fillId="3" borderId="0" xfId="2" applyNumberFormat="1" applyFont="1" applyFill="1" applyAlignment="1" applyProtection="1">
      <alignment horizontal="right"/>
      <protection hidden="1"/>
    </xf>
    <xf numFmtId="169" fontId="0" fillId="3" borderId="0" xfId="2" applyNumberFormat="1" applyFont="1" applyFill="1" applyAlignment="1" applyProtection="1">
      <alignment horizontal="right"/>
      <protection hidden="1"/>
    </xf>
    <xf numFmtId="15" fontId="25" fillId="3" borderId="0" xfId="0" applyNumberFormat="1" applyFont="1" applyFill="1" applyProtection="1">
      <protection hidden="1"/>
    </xf>
    <xf numFmtId="167" fontId="0" fillId="6" borderId="5" xfId="2" applyNumberFormat="1" applyFont="1" applyFill="1" applyBorder="1" applyAlignment="1">
      <alignment horizontal="center"/>
    </xf>
    <xf numFmtId="167" fontId="0" fillId="6" borderId="7" xfId="2" applyNumberFormat="1" applyFont="1" applyFill="1" applyBorder="1" applyAlignment="1">
      <alignment horizontal="center"/>
    </xf>
    <xf numFmtId="0" fontId="38" fillId="8" borderId="9" xfId="0" applyFont="1" applyFill="1" applyBorder="1" applyAlignment="1">
      <alignment horizontal="center" wrapText="1"/>
    </xf>
    <xf numFmtId="0" fontId="25" fillId="6" borderId="5" xfId="0" applyFont="1" applyFill="1" applyBorder="1" applyAlignment="1">
      <alignment horizontal="left" wrapText="1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166" fontId="0" fillId="6" borderId="6" xfId="1" applyNumberFormat="1" applyFont="1" applyFill="1" applyBorder="1" applyAlignment="1">
      <alignment horizontal="center"/>
    </xf>
    <xf numFmtId="166" fontId="0" fillId="6" borderId="7" xfId="1" applyNumberFormat="1" applyFont="1" applyFill="1" applyBorder="1" applyAlignment="1">
      <alignment horizontal="center"/>
    </xf>
    <xf numFmtId="166" fontId="0" fillId="6" borderId="5" xfId="1" applyNumberFormat="1" applyFont="1" applyFill="1" applyBorder="1" applyAlignment="1">
      <alignment horizontal="center"/>
    </xf>
    <xf numFmtId="166" fontId="25" fillId="6" borderId="5" xfId="1" applyNumberFormat="1" applyFont="1" applyFill="1" applyBorder="1" applyAlignment="1">
      <alignment horizontal="center"/>
    </xf>
    <xf numFmtId="166" fontId="25" fillId="6" borderId="7" xfId="1" applyNumberFormat="1" applyFont="1" applyFill="1" applyBorder="1" applyAlignment="1">
      <alignment horizontal="center"/>
    </xf>
    <xf numFmtId="0" fontId="0" fillId="6" borderId="5" xfId="0" applyFill="1" applyBorder="1" applyAlignment="1">
      <alignment horizontal="left"/>
    </xf>
    <xf numFmtId="0" fontId="0" fillId="6" borderId="9" xfId="0" applyFill="1" applyBorder="1" applyAlignment="1">
      <alignment horizontal="left"/>
    </xf>
    <xf numFmtId="166" fontId="0" fillId="6" borderId="9" xfId="1" applyNumberFormat="1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38" fillId="8" borderId="9" xfId="0" applyFont="1" applyFill="1" applyBorder="1" applyAlignment="1">
      <alignment horizontal="center"/>
    </xf>
    <xf numFmtId="0" fontId="25" fillId="6" borderId="9" xfId="0" applyFont="1" applyFill="1" applyBorder="1" applyAlignment="1">
      <alignment horizontal="left"/>
    </xf>
    <xf numFmtId="0" fontId="38" fillId="8" borderId="48" xfId="0" applyFont="1" applyFill="1" applyBorder="1" applyAlignment="1">
      <alignment horizontal="center" wrapText="1"/>
    </xf>
    <xf numFmtId="0" fontId="38" fillId="8" borderId="49" xfId="0" applyFont="1" applyFill="1" applyBorder="1" applyAlignment="1">
      <alignment horizontal="center" wrapText="1"/>
    </xf>
    <xf numFmtId="0" fontId="38" fillId="8" borderId="50" xfId="0" applyFont="1" applyFill="1" applyBorder="1" applyAlignment="1">
      <alignment horizontal="center" wrapText="1"/>
    </xf>
    <xf numFmtId="0" fontId="38" fillId="8" borderId="51" xfId="0" applyFont="1" applyFill="1" applyBorder="1" applyAlignment="1">
      <alignment horizontal="center" wrapText="1"/>
    </xf>
    <xf numFmtId="0" fontId="38" fillId="8" borderId="52" xfId="0" applyFont="1" applyFill="1" applyBorder="1" applyAlignment="1">
      <alignment horizontal="center" wrapText="1"/>
    </xf>
    <xf numFmtId="0" fontId="38" fillId="8" borderId="53" xfId="0" applyFont="1" applyFill="1" applyBorder="1" applyAlignment="1">
      <alignment horizontal="center" wrapText="1"/>
    </xf>
    <xf numFmtId="0" fontId="36" fillId="8" borderId="5" xfId="0" applyFont="1" applyFill="1" applyBorder="1" applyAlignment="1">
      <alignment horizontal="left" indent="1"/>
    </xf>
    <xf numFmtId="0" fontId="36" fillId="8" borderId="6" xfId="0" applyFont="1" applyFill="1" applyBorder="1" applyAlignment="1">
      <alignment horizontal="left" indent="1"/>
    </xf>
    <xf numFmtId="0" fontId="36" fillId="8" borderId="7" xfId="0" applyFont="1" applyFill="1" applyBorder="1" applyAlignment="1">
      <alignment horizontal="left" indent="1"/>
    </xf>
    <xf numFmtId="0" fontId="31" fillId="7" borderId="0" xfId="0" applyFont="1" applyFill="1" applyAlignment="1">
      <alignment horizontal="center" wrapText="1"/>
    </xf>
    <xf numFmtId="0" fontId="26" fillId="3" borderId="0" xfId="0" applyFont="1" applyFill="1" applyAlignment="1" applyProtection="1">
      <alignment horizontal="center"/>
      <protection hidden="1"/>
    </xf>
    <xf numFmtId="0" fontId="28" fillId="2" borderId="61" xfId="0" applyFont="1" applyFill="1" applyBorder="1" applyAlignment="1" applyProtection="1">
      <alignment horizontal="center"/>
      <protection hidden="1"/>
    </xf>
    <xf numFmtId="0" fontId="28" fillId="2" borderId="62" xfId="0" applyFont="1" applyFill="1" applyBorder="1" applyAlignment="1" applyProtection="1">
      <alignment horizontal="center"/>
      <protection hidden="1"/>
    </xf>
    <xf numFmtId="0" fontId="28" fillId="2" borderId="63" xfId="0" applyFont="1" applyFill="1" applyBorder="1" applyAlignment="1" applyProtection="1">
      <alignment horizontal="center"/>
      <protection hidden="1"/>
    </xf>
    <xf numFmtId="0" fontId="0" fillId="3" borderId="48" xfId="0" applyFill="1" applyBorder="1" applyAlignment="1" applyProtection="1">
      <alignment horizontal="left"/>
      <protection hidden="1"/>
    </xf>
    <xf numFmtId="0" fontId="0" fillId="3" borderId="49" xfId="0" applyFill="1" applyBorder="1" applyAlignment="1" applyProtection="1">
      <alignment horizontal="left"/>
      <protection hidden="1"/>
    </xf>
    <xf numFmtId="0" fontId="0" fillId="3" borderId="16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51" xfId="0" applyFill="1" applyBorder="1" applyAlignment="1" applyProtection="1">
      <alignment horizontal="left"/>
      <protection hidden="1"/>
    </xf>
    <xf numFmtId="0" fontId="0" fillId="3" borderId="52" xfId="0" applyFill="1" applyBorder="1" applyAlignment="1" applyProtection="1">
      <alignment horizontal="left"/>
      <protection hidden="1"/>
    </xf>
    <xf numFmtId="0" fontId="0" fillId="2" borderId="54" xfId="0" applyFill="1" applyBorder="1" applyAlignment="1" applyProtection="1">
      <alignment horizontal="center" vertical="center" textRotation="255"/>
      <protection hidden="1"/>
    </xf>
    <xf numFmtId="0" fontId="0" fillId="2" borderId="55" xfId="0" applyFill="1" applyBorder="1" applyAlignment="1" applyProtection="1">
      <alignment horizontal="center" vertical="center" textRotation="255"/>
      <protection hidden="1"/>
    </xf>
    <xf numFmtId="0" fontId="0" fillId="2" borderId="56" xfId="0" applyFill="1" applyBorder="1" applyAlignment="1" applyProtection="1">
      <alignment horizontal="center" vertical="center" textRotation="255"/>
      <protection hidden="1"/>
    </xf>
    <xf numFmtId="0" fontId="0" fillId="2" borderId="57" xfId="0" applyFill="1" applyBorder="1" applyAlignment="1" applyProtection="1">
      <alignment horizontal="center" vertical="center" textRotation="255"/>
      <protection hidden="1"/>
    </xf>
    <xf numFmtId="0" fontId="0" fillId="2" borderId="58" xfId="0" applyFill="1" applyBorder="1" applyAlignment="1" applyProtection="1">
      <alignment horizontal="center" vertical="center" textRotation="255"/>
      <protection hidden="1"/>
    </xf>
    <xf numFmtId="0" fontId="0" fillId="2" borderId="59" xfId="0" applyFill="1" applyBorder="1" applyAlignment="1" applyProtection="1">
      <alignment horizontal="center" vertical="center" textRotation="255"/>
      <protection hidden="1"/>
    </xf>
    <xf numFmtId="0" fontId="0" fillId="2" borderId="60" xfId="0" applyFill="1" applyBorder="1" applyAlignment="1" applyProtection="1">
      <alignment horizontal="center" vertical="center" textRotation="255"/>
      <protection hidden="1"/>
    </xf>
    <xf numFmtId="0" fontId="29" fillId="2" borderId="47" xfId="0" applyFont="1" applyFill="1" applyBorder="1" applyAlignment="1" applyProtection="1">
      <alignment horizontal="center" vertical="center" textRotation="255"/>
      <protection hidden="1"/>
    </xf>
    <xf numFmtId="0" fontId="29" fillId="2" borderId="64" xfId="0" applyFont="1" applyFill="1" applyBorder="1" applyAlignment="1" applyProtection="1">
      <alignment horizontal="center" vertical="center" textRotation="255"/>
      <protection hidden="1"/>
    </xf>
    <xf numFmtId="0" fontId="0" fillId="0" borderId="64" xfId="0" applyBorder="1"/>
    <xf numFmtId="0" fontId="0" fillId="0" borderId="19" xfId="0" applyBorder="1"/>
    <xf numFmtId="0" fontId="29" fillId="2" borderId="65" xfId="0" applyFont="1" applyFill="1" applyBorder="1" applyAlignment="1" applyProtection="1">
      <alignment horizontal="center" vertical="center" textRotation="255"/>
      <protection hidden="1"/>
    </xf>
    <xf numFmtId="0" fontId="29" fillId="2" borderId="66" xfId="0" applyFont="1" applyFill="1" applyBorder="1" applyAlignment="1" applyProtection="1">
      <alignment horizontal="center" vertical="center" textRotation="255"/>
      <protection hidden="1"/>
    </xf>
    <xf numFmtId="0" fontId="29" fillId="2" borderId="67" xfId="0" applyFont="1" applyFill="1" applyBorder="1" applyAlignment="1" applyProtection="1">
      <alignment horizontal="center" vertical="center" textRotation="255"/>
      <protection hidden="1"/>
    </xf>
    <xf numFmtId="0" fontId="28" fillId="2" borderId="61" xfId="0" applyFont="1" applyFill="1" applyBorder="1" applyAlignment="1" applyProtection="1">
      <alignment horizontal="center" wrapText="1"/>
      <protection hidden="1"/>
    </xf>
    <xf numFmtId="0" fontId="28" fillId="2" borderId="62" xfId="0" applyFont="1" applyFill="1" applyBorder="1" applyAlignment="1" applyProtection="1">
      <alignment horizontal="center" wrapText="1"/>
      <protection hidden="1"/>
    </xf>
    <xf numFmtId="0" fontId="28" fillId="2" borderId="63" xfId="0" applyFont="1" applyFill="1" applyBorder="1" applyAlignment="1" applyProtection="1">
      <alignment horizontal="center" wrapText="1"/>
      <protection hidden="1"/>
    </xf>
    <xf numFmtId="0" fontId="28" fillId="2" borderId="0" xfId="0" applyFont="1" applyFill="1" applyAlignment="1">
      <alignment horizontal="center"/>
    </xf>
  </cellXfs>
  <cellStyles count="212">
    <cellStyle name="Comma" xfId="1" builtinId="3"/>
    <cellStyle name="Comma 2" xfId="5" xr:uid="{00000000-0005-0000-0000-000001000000}"/>
    <cellStyle name="Comma 2 2" xfId="112" xr:uid="{24BD2221-6550-4773-95CA-EF5B23DBA3AD}"/>
    <cellStyle name="Comma 3" xfId="109" xr:uid="{09CB39B1-53F6-4966-97F6-6CA83A527225}"/>
    <cellStyle name="Currency" xfId="2" builtinId="4"/>
    <cellStyle name="Currency 2" xfId="23" xr:uid="{00000000-0005-0000-0000-000003000000}"/>
    <cellStyle name="Currency 2 2" xfId="47" xr:uid="{00000000-0005-0000-0000-000004000000}"/>
    <cellStyle name="Currency 2 2 2" xfId="97" xr:uid="{00000000-0005-0000-0000-000005000000}"/>
    <cellStyle name="Currency 2 2 2 2" xfId="203" xr:uid="{D6BC1F0F-5806-4CBC-9EAE-0E01545E9AD3}"/>
    <cellStyle name="Currency 2 2 3" xfId="153" xr:uid="{108BCFF6-943B-4788-8D9C-42A98F5BE06E}"/>
    <cellStyle name="Currency 2 3" xfId="73" xr:uid="{00000000-0005-0000-0000-000006000000}"/>
    <cellStyle name="Currency 2 3 2" xfId="179" xr:uid="{2EABB9FF-D205-4E90-9903-2EDEF3B09682}"/>
    <cellStyle name="Currency 2 4" xfId="129" xr:uid="{98C1B95B-A13B-4456-9B62-F3DD972471DC}"/>
    <cellStyle name="Currency 3" xfId="25" xr:uid="{00000000-0005-0000-0000-000007000000}"/>
    <cellStyle name="Currency 3 2" xfId="49" xr:uid="{00000000-0005-0000-0000-000008000000}"/>
    <cellStyle name="Currency 3 2 2" xfId="99" xr:uid="{00000000-0005-0000-0000-000009000000}"/>
    <cellStyle name="Currency 3 2 2 2" xfId="205" xr:uid="{096B1721-0113-4CD7-83B4-20BB62144C3D}"/>
    <cellStyle name="Currency 3 2 3" xfId="155" xr:uid="{0428238E-46A6-407A-ABC0-BBE8ABA4E30A}"/>
    <cellStyle name="Currency 3 3" xfId="75" xr:uid="{00000000-0005-0000-0000-00000A000000}"/>
    <cellStyle name="Currency 3 3 2" xfId="181" xr:uid="{D4C00034-78C2-4F97-8207-12DE725D9053}"/>
    <cellStyle name="Currency 3 4" xfId="131" xr:uid="{C8E8051E-EF3F-4483-9A92-3DFF0867DAC0}"/>
    <cellStyle name="Currency 4" xfId="27" xr:uid="{00000000-0005-0000-0000-00000B000000}"/>
    <cellStyle name="Currency 4 2" xfId="51" xr:uid="{00000000-0005-0000-0000-00000C000000}"/>
    <cellStyle name="Currency 4 2 2" xfId="101" xr:uid="{00000000-0005-0000-0000-00000D000000}"/>
    <cellStyle name="Currency 4 2 2 2" xfId="207" xr:uid="{DB3B1290-0B9F-4FB5-9043-A2824EC3773D}"/>
    <cellStyle name="Currency 4 2 3" xfId="157" xr:uid="{F21B1047-5701-411F-92D4-59B970C6DE45}"/>
    <cellStyle name="Currency 4 3" xfId="77" xr:uid="{00000000-0005-0000-0000-00000E000000}"/>
    <cellStyle name="Currency 4 3 2" xfId="183" xr:uid="{17D12012-AB60-46B6-B5AE-6858986E0D9C}"/>
    <cellStyle name="Currency 4 4" xfId="133" xr:uid="{D1545F1C-C8E4-4154-968D-52884248D4D1}"/>
    <cellStyle name="Currency 5" xfId="29" xr:uid="{00000000-0005-0000-0000-00000F000000}"/>
    <cellStyle name="Currency 5 2" xfId="53" xr:uid="{00000000-0005-0000-0000-000010000000}"/>
    <cellStyle name="Currency 5 2 2" xfId="103" xr:uid="{00000000-0005-0000-0000-000011000000}"/>
    <cellStyle name="Currency 5 2 2 2" xfId="209" xr:uid="{5163200E-80DB-457A-B7AF-B04E5C1DDFC9}"/>
    <cellStyle name="Currency 5 2 3" xfId="159" xr:uid="{6460341F-1941-4A78-A556-74769A5B2663}"/>
    <cellStyle name="Currency 5 3" xfId="79" xr:uid="{00000000-0005-0000-0000-000012000000}"/>
    <cellStyle name="Currency 5 3 2" xfId="185" xr:uid="{D43EA284-340E-4052-9AD9-84D1971216A6}"/>
    <cellStyle name="Currency 5 4" xfId="135" xr:uid="{DB76AA59-5B3E-423F-924A-C4DA13749930}"/>
    <cellStyle name="Currency 6" xfId="55" xr:uid="{00000000-0005-0000-0000-000013000000}"/>
    <cellStyle name="Currency 6 2" xfId="105" xr:uid="{00000000-0005-0000-0000-000014000000}"/>
    <cellStyle name="Currency 6 2 2" xfId="211" xr:uid="{FE846A7D-2FF6-4E00-8568-A220324793FB}"/>
    <cellStyle name="Currency 6 3" xfId="161" xr:uid="{4CC0CE21-D347-4DF1-8667-EEBEB7DBCFD5}"/>
    <cellStyle name="Currency 7" xfId="110" xr:uid="{6E03F7F8-75B9-4C61-8426-7C27489FC19B}"/>
    <cellStyle name="Currency 8" xfId="107" xr:uid="{674CF492-59E6-4E19-81F7-32BC7D7EEA55}"/>
    <cellStyle name="Normal" xfId="0" builtinId="0"/>
    <cellStyle name="Normal 10" xfId="13" xr:uid="{00000000-0005-0000-0000-000016000000}"/>
    <cellStyle name="Normal 10 2" xfId="37" xr:uid="{00000000-0005-0000-0000-000017000000}"/>
    <cellStyle name="Normal 10 2 2" xfId="87" xr:uid="{00000000-0005-0000-0000-000018000000}"/>
    <cellStyle name="Normal 10 2 2 2" xfId="193" xr:uid="{3445C9F0-F44A-46A9-982C-2C75B535C802}"/>
    <cellStyle name="Normal 10 2 3" xfId="143" xr:uid="{BD3646B5-D8FC-4793-BD82-207623993679}"/>
    <cellStyle name="Normal 10 3" xfId="63" xr:uid="{00000000-0005-0000-0000-000019000000}"/>
    <cellStyle name="Normal 10 3 2" xfId="169" xr:uid="{2C9B4F99-3E65-43EC-86DE-3E1457CBFAC5}"/>
    <cellStyle name="Normal 10 4" xfId="119" xr:uid="{E7AF661E-32B5-4D53-9998-34F69A204543}"/>
    <cellStyle name="Normal 11" xfId="14" xr:uid="{00000000-0005-0000-0000-00001A000000}"/>
    <cellStyle name="Normal 11 2" xfId="38" xr:uid="{00000000-0005-0000-0000-00001B000000}"/>
    <cellStyle name="Normal 11 2 2" xfId="88" xr:uid="{00000000-0005-0000-0000-00001C000000}"/>
    <cellStyle name="Normal 11 2 2 2" xfId="194" xr:uid="{101080D7-0BED-4E47-AAB9-DF70E11446D9}"/>
    <cellStyle name="Normal 11 2 3" xfId="144" xr:uid="{E0B82B8D-D476-47A8-9399-2CEB33872666}"/>
    <cellStyle name="Normal 11 3" xfId="64" xr:uid="{00000000-0005-0000-0000-00001D000000}"/>
    <cellStyle name="Normal 11 3 2" xfId="170" xr:uid="{05FE6C92-4DDB-4ABF-9DBB-1538F70B8ECD}"/>
    <cellStyle name="Normal 11 4" xfId="120" xr:uid="{4B2BC8BB-E058-4A87-8330-D6678C86335C}"/>
    <cellStyle name="Normal 12" xfId="15" xr:uid="{00000000-0005-0000-0000-00001E000000}"/>
    <cellStyle name="Normal 12 2" xfId="39" xr:uid="{00000000-0005-0000-0000-00001F000000}"/>
    <cellStyle name="Normal 12 2 2" xfId="89" xr:uid="{00000000-0005-0000-0000-000020000000}"/>
    <cellStyle name="Normal 12 2 2 2" xfId="195" xr:uid="{FF184357-45DA-49A1-BBA9-F16959C8FA5B}"/>
    <cellStyle name="Normal 12 2 3" xfId="145" xr:uid="{1571A91F-488F-4BB6-8901-B57F15D11211}"/>
    <cellStyle name="Normal 12 3" xfId="65" xr:uid="{00000000-0005-0000-0000-000021000000}"/>
    <cellStyle name="Normal 12 3 2" xfId="171" xr:uid="{7A0F8BFD-7529-4A87-9763-D84BA9DB5F1D}"/>
    <cellStyle name="Normal 12 4" xfId="121" xr:uid="{6CD028D4-F708-4CC0-9BE5-2DE898BFF0E2}"/>
    <cellStyle name="Normal 13" xfId="16" xr:uid="{00000000-0005-0000-0000-000022000000}"/>
    <cellStyle name="Normal 13 2" xfId="40" xr:uid="{00000000-0005-0000-0000-000023000000}"/>
    <cellStyle name="Normal 13 2 2" xfId="90" xr:uid="{00000000-0005-0000-0000-000024000000}"/>
    <cellStyle name="Normal 13 2 2 2" xfId="196" xr:uid="{8860C5B1-51E0-45AB-A40D-D93341D3F707}"/>
    <cellStyle name="Normal 13 2 3" xfId="146" xr:uid="{04DD9E96-7786-4FE8-BE92-92200B1330B7}"/>
    <cellStyle name="Normal 13 3" xfId="66" xr:uid="{00000000-0005-0000-0000-000025000000}"/>
    <cellStyle name="Normal 13 3 2" xfId="172" xr:uid="{CB426591-AE97-4E19-A4A7-30FC7BE167C0}"/>
    <cellStyle name="Normal 13 4" xfId="122" xr:uid="{6BA4FE29-3809-470E-8FB2-0660E2066179}"/>
    <cellStyle name="Normal 14" xfId="17" xr:uid="{00000000-0005-0000-0000-000026000000}"/>
    <cellStyle name="Normal 14 2" xfId="41" xr:uid="{00000000-0005-0000-0000-000027000000}"/>
    <cellStyle name="Normal 14 2 2" xfId="91" xr:uid="{00000000-0005-0000-0000-000028000000}"/>
    <cellStyle name="Normal 14 2 2 2" xfId="197" xr:uid="{A2CAEEBB-0B21-40AE-A0BA-3924A5F3502E}"/>
    <cellStyle name="Normal 14 2 3" xfId="147" xr:uid="{244E353F-5D9A-4671-B1BF-C3F01E126D45}"/>
    <cellStyle name="Normal 14 3" xfId="67" xr:uid="{00000000-0005-0000-0000-000029000000}"/>
    <cellStyle name="Normal 14 3 2" xfId="173" xr:uid="{EC82917A-41E6-4ACB-927F-AA85E12E9438}"/>
    <cellStyle name="Normal 14 4" xfId="123" xr:uid="{6B39888A-8358-4CE9-8964-2CEEA5AF63AF}"/>
    <cellStyle name="Normal 15" xfId="18" xr:uid="{00000000-0005-0000-0000-00002A000000}"/>
    <cellStyle name="Normal 15 2" xfId="42" xr:uid="{00000000-0005-0000-0000-00002B000000}"/>
    <cellStyle name="Normal 15 2 2" xfId="92" xr:uid="{00000000-0005-0000-0000-00002C000000}"/>
    <cellStyle name="Normal 15 2 2 2" xfId="198" xr:uid="{5DF955FA-80CE-4AE1-9EE2-5A9F4C7DD54C}"/>
    <cellStyle name="Normal 15 2 3" xfId="148" xr:uid="{178916CC-E012-410F-B155-3A5D621D8FED}"/>
    <cellStyle name="Normal 15 3" xfId="68" xr:uid="{00000000-0005-0000-0000-00002D000000}"/>
    <cellStyle name="Normal 15 3 2" xfId="174" xr:uid="{5FBB7C97-6489-4207-A221-520F76C312E1}"/>
    <cellStyle name="Normal 15 4" xfId="124" xr:uid="{D8574F0E-6F1D-4001-99AB-5B0C2B9B88F4}"/>
    <cellStyle name="Normal 16" xfId="19" xr:uid="{00000000-0005-0000-0000-00002E000000}"/>
    <cellStyle name="Normal 16 2" xfId="43" xr:uid="{00000000-0005-0000-0000-00002F000000}"/>
    <cellStyle name="Normal 16 2 2" xfId="93" xr:uid="{00000000-0005-0000-0000-000030000000}"/>
    <cellStyle name="Normal 16 2 2 2" xfId="199" xr:uid="{B6211D33-A8D2-44DF-AD1B-2E11681B2A56}"/>
    <cellStyle name="Normal 16 2 3" xfId="149" xr:uid="{EB667670-1DF8-482A-B322-74C8153010CF}"/>
    <cellStyle name="Normal 16 3" xfId="69" xr:uid="{00000000-0005-0000-0000-000031000000}"/>
    <cellStyle name="Normal 16 3 2" xfId="175" xr:uid="{F68E8185-91F7-4A35-9403-D2C793EAC7AC}"/>
    <cellStyle name="Normal 16 4" xfId="125" xr:uid="{B022EF9C-4B14-4614-B696-CC54E6BB7E6F}"/>
    <cellStyle name="Normal 17" xfId="20" xr:uid="{00000000-0005-0000-0000-000032000000}"/>
    <cellStyle name="Normal 17 2" xfId="44" xr:uid="{00000000-0005-0000-0000-000033000000}"/>
    <cellStyle name="Normal 17 2 2" xfId="94" xr:uid="{00000000-0005-0000-0000-000034000000}"/>
    <cellStyle name="Normal 17 2 2 2" xfId="200" xr:uid="{B34846D1-B41C-4A94-BFAE-9D5C008FE4FE}"/>
    <cellStyle name="Normal 17 2 3" xfId="150" xr:uid="{6B30D243-BADF-4C55-9DDE-A090AE8C6D45}"/>
    <cellStyle name="Normal 17 3" xfId="70" xr:uid="{00000000-0005-0000-0000-000035000000}"/>
    <cellStyle name="Normal 17 3 2" xfId="176" xr:uid="{E2178897-75C8-4A50-9552-F392004994BA}"/>
    <cellStyle name="Normal 17 4" xfId="126" xr:uid="{1569502D-5EF8-4640-AEA0-A523BC7EF2D0}"/>
    <cellStyle name="Normal 18" xfId="21" xr:uid="{00000000-0005-0000-0000-000036000000}"/>
    <cellStyle name="Normal 18 2" xfId="45" xr:uid="{00000000-0005-0000-0000-000037000000}"/>
    <cellStyle name="Normal 18 2 2" xfId="95" xr:uid="{00000000-0005-0000-0000-000038000000}"/>
    <cellStyle name="Normal 18 2 2 2" xfId="201" xr:uid="{F55BBF38-54B6-4A1C-8F7B-B081DC3C7FA8}"/>
    <cellStyle name="Normal 18 2 3" xfId="151" xr:uid="{D2ADF07C-A6F7-4FC9-8946-200F58BD9B85}"/>
    <cellStyle name="Normal 18 3" xfId="71" xr:uid="{00000000-0005-0000-0000-000039000000}"/>
    <cellStyle name="Normal 18 3 2" xfId="177" xr:uid="{7EF281D5-A305-4F3C-ADF0-DE32EE6AC8B0}"/>
    <cellStyle name="Normal 18 4" xfId="127" xr:uid="{A440A681-9641-461D-B0CC-4288C0493316}"/>
    <cellStyle name="Normal 19" xfId="22" xr:uid="{00000000-0005-0000-0000-00003A000000}"/>
    <cellStyle name="Normal 19 2" xfId="46" xr:uid="{00000000-0005-0000-0000-00003B000000}"/>
    <cellStyle name="Normal 19 2 2" xfId="96" xr:uid="{00000000-0005-0000-0000-00003C000000}"/>
    <cellStyle name="Normal 19 2 2 2" xfId="202" xr:uid="{C9EFEB82-53E1-432B-94BB-263CEBDFD7B4}"/>
    <cellStyle name="Normal 19 2 3" xfId="152" xr:uid="{61909AB8-3694-4FA8-8CD7-439CC279F9CC}"/>
    <cellStyle name="Normal 19 3" xfId="72" xr:uid="{00000000-0005-0000-0000-00003D000000}"/>
    <cellStyle name="Normal 19 3 2" xfId="178" xr:uid="{86A430EA-44B9-4511-AABE-3FE39A84C828}"/>
    <cellStyle name="Normal 19 4" xfId="128" xr:uid="{E57A69F6-C220-43F9-AEFE-74F3D8AF6890}"/>
    <cellStyle name="Normal 2" xfId="4" xr:uid="{00000000-0005-0000-0000-00003E000000}"/>
    <cellStyle name="Normal 2 2" xfId="8" xr:uid="{00000000-0005-0000-0000-00003F000000}"/>
    <cellStyle name="Normal 20" xfId="24" xr:uid="{00000000-0005-0000-0000-000040000000}"/>
    <cellStyle name="Normal 20 2" xfId="48" xr:uid="{00000000-0005-0000-0000-000041000000}"/>
    <cellStyle name="Normal 20 2 2" xfId="98" xr:uid="{00000000-0005-0000-0000-000042000000}"/>
    <cellStyle name="Normal 20 2 2 2" xfId="204" xr:uid="{F9F9AB23-6BEB-423F-B34A-3C28D84073F0}"/>
    <cellStyle name="Normal 20 2 3" xfId="154" xr:uid="{E4119BDC-A804-4090-856F-C3E69FA3F3B8}"/>
    <cellStyle name="Normal 20 3" xfId="74" xr:uid="{00000000-0005-0000-0000-000043000000}"/>
    <cellStyle name="Normal 20 3 2" xfId="180" xr:uid="{AB80681D-22E8-401A-A9DC-23C1F17BACF0}"/>
    <cellStyle name="Normal 20 4" xfId="130" xr:uid="{EFBC2C8E-B4B8-4B16-B6F9-7C20FE0E2902}"/>
    <cellStyle name="Normal 21" xfId="26" xr:uid="{00000000-0005-0000-0000-000044000000}"/>
    <cellStyle name="Normal 21 2" xfId="50" xr:uid="{00000000-0005-0000-0000-000045000000}"/>
    <cellStyle name="Normal 21 2 2" xfId="100" xr:uid="{00000000-0005-0000-0000-000046000000}"/>
    <cellStyle name="Normal 21 2 2 2" xfId="206" xr:uid="{5EDEA847-1E11-4A26-A2AF-CB36230CC6CB}"/>
    <cellStyle name="Normal 21 2 3" xfId="156" xr:uid="{3745E675-763F-41E0-BA2E-9503D2F8054F}"/>
    <cellStyle name="Normal 21 3" xfId="76" xr:uid="{00000000-0005-0000-0000-000047000000}"/>
    <cellStyle name="Normal 21 3 2" xfId="182" xr:uid="{7AAFA677-270E-4C09-8C7C-3F3A9E418926}"/>
    <cellStyle name="Normal 21 4" xfId="132" xr:uid="{1BB4F61F-3FF7-45DD-B371-26A124C671D0}"/>
    <cellStyle name="Normal 22" xfId="28" xr:uid="{00000000-0005-0000-0000-000048000000}"/>
    <cellStyle name="Normal 22 2" xfId="52" xr:uid="{00000000-0005-0000-0000-000049000000}"/>
    <cellStyle name="Normal 22 2 2" xfId="102" xr:uid="{00000000-0005-0000-0000-00004A000000}"/>
    <cellStyle name="Normal 22 2 2 2" xfId="208" xr:uid="{F95812C3-AA56-4ED3-A802-8DCB6646F5FA}"/>
    <cellStyle name="Normal 22 2 3" xfId="158" xr:uid="{85746649-5352-4948-AF6C-6B6345FDE1BD}"/>
    <cellStyle name="Normal 22 3" xfId="78" xr:uid="{00000000-0005-0000-0000-00004B000000}"/>
    <cellStyle name="Normal 22 3 2" xfId="184" xr:uid="{7948B865-8752-41D3-99F2-773EF013872D}"/>
    <cellStyle name="Normal 22 4" xfId="134" xr:uid="{F912D56B-D355-4DFE-84DA-351A64509E7D}"/>
    <cellStyle name="Normal 23" xfId="54" xr:uid="{00000000-0005-0000-0000-00004C000000}"/>
    <cellStyle name="Normal 23 2" xfId="104" xr:uid="{00000000-0005-0000-0000-00004D000000}"/>
    <cellStyle name="Normal 23 2 2" xfId="210" xr:uid="{45B71C7F-7462-4EA0-BDAD-F4BC2C7B5C90}"/>
    <cellStyle name="Normal 23 3" xfId="160" xr:uid="{40801FCF-CC3B-48FE-BA3B-4BBF61F1E27E}"/>
    <cellStyle name="Normal 24" xfId="108" xr:uid="{663E0F4C-8AD3-4A6C-953E-B77E4BD75D18}"/>
    <cellStyle name="Normal 25" xfId="106" xr:uid="{50EF7CC8-C684-4F83-8FC6-71FEA18FA8B7}"/>
    <cellStyle name="Normal 3" xfId="3" xr:uid="{00000000-0005-0000-0000-00004E000000}"/>
    <cellStyle name="Normal 3 2" xfId="30" xr:uid="{00000000-0005-0000-0000-00004F000000}"/>
    <cellStyle name="Normal 3 2 2" xfId="80" xr:uid="{00000000-0005-0000-0000-000050000000}"/>
    <cellStyle name="Normal 3 2 2 2" xfId="186" xr:uid="{9B171D60-F395-4F1A-8D4C-D0A9DF949EB9}"/>
    <cellStyle name="Normal 3 2 3" xfId="136" xr:uid="{67C3F432-08F5-45D9-A240-1C34E40F5ED3}"/>
    <cellStyle name="Normal 3 3" xfId="56" xr:uid="{00000000-0005-0000-0000-000051000000}"/>
    <cellStyle name="Normal 3 3 2" xfId="162" xr:uid="{0C53574A-5647-4D3C-B8EB-5A6B8233C62A}"/>
    <cellStyle name="Normal 3 4" xfId="111" xr:uid="{DCC0A492-E23A-4022-B2B0-B33920B7C805}"/>
    <cellStyle name="Normal 4" xfId="6" xr:uid="{00000000-0005-0000-0000-000052000000}"/>
    <cellStyle name="Normal 4 2" xfId="31" xr:uid="{00000000-0005-0000-0000-000053000000}"/>
    <cellStyle name="Normal 4 2 2" xfId="81" xr:uid="{00000000-0005-0000-0000-000054000000}"/>
    <cellStyle name="Normal 4 2 2 2" xfId="187" xr:uid="{49F60846-71D9-480D-B395-9B1693511A27}"/>
    <cellStyle name="Normal 4 2 3" xfId="137" xr:uid="{12D34DF1-4700-408C-8EC8-31B262E0EEB9}"/>
    <cellStyle name="Normal 4 3" xfId="57" xr:uid="{00000000-0005-0000-0000-000055000000}"/>
    <cellStyle name="Normal 4 3 2" xfId="163" xr:uid="{A9EC1924-7297-4B9A-9FA6-703708FB7256}"/>
    <cellStyle name="Normal 4 4" xfId="113" xr:uid="{A9A16614-98E2-4526-8DC7-9813304A44DF}"/>
    <cellStyle name="Normal 5" xfId="7" xr:uid="{00000000-0005-0000-0000-000056000000}"/>
    <cellStyle name="Normal 5 2" xfId="32" xr:uid="{00000000-0005-0000-0000-000057000000}"/>
    <cellStyle name="Normal 5 2 2" xfId="82" xr:uid="{00000000-0005-0000-0000-000058000000}"/>
    <cellStyle name="Normal 5 2 2 2" xfId="188" xr:uid="{6800D826-BCF2-4B01-A048-A8C2FA0B642B}"/>
    <cellStyle name="Normal 5 2 3" xfId="138" xr:uid="{F35E8697-CA4B-4C80-AE81-AE8AF9628751}"/>
    <cellStyle name="Normal 5 3" xfId="58" xr:uid="{00000000-0005-0000-0000-000059000000}"/>
    <cellStyle name="Normal 5 3 2" xfId="164" xr:uid="{70B08148-59B8-40AE-8797-4FA4F9AE8A8E}"/>
    <cellStyle name="Normal 5 4" xfId="114" xr:uid="{2E178131-350B-42E6-9B76-50A4B35B3889}"/>
    <cellStyle name="Normal 6" xfId="9" xr:uid="{00000000-0005-0000-0000-00005A000000}"/>
    <cellStyle name="Normal 6 2" xfId="33" xr:uid="{00000000-0005-0000-0000-00005B000000}"/>
    <cellStyle name="Normal 6 2 2" xfId="83" xr:uid="{00000000-0005-0000-0000-00005C000000}"/>
    <cellStyle name="Normal 6 2 2 2" xfId="189" xr:uid="{755E1921-1E56-4249-8436-CDA265394B89}"/>
    <cellStyle name="Normal 6 2 3" xfId="139" xr:uid="{29ABB008-4BE8-4F77-B123-FFAEADFE42EA}"/>
    <cellStyle name="Normal 6 3" xfId="59" xr:uid="{00000000-0005-0000-0000-00005D000000}"/>
    <cellStyle name="Normal 6 3 2" xfId="165" xr:uid="{384FE15F-F645-4743-9716-E105A1C11859}"/>
    <cellStyle name="Normal 6 4" xfId="115" xr:uid="{64670EDE-CF0F-455D-8C87-426E21DD2A88}"/>
    <cellStyle name="Normal 7" xfId="10" xr:uid="{00000000-0005-0000-0000-00005E000000}"/>
    <cellStyle name="Normal 7 2" xfId="34" xr:uid="{00000000-0005-0000-0000-00005F000000}"/>
    <cellStyle name="Normal 7 2 2" xfId="84" xr:uid="{00000000-0005-0000-0000-000060000000}"/>
    <cellStyle name="Normal 7 2 2 2" xfId="190" xr:uid="{52C84894-70F7-400E-B85E-7129D7157F3F}"/>
    <cellStyle name="Normal 7 2 3" xfId="140" xr:uid="{A7A9797D-145E-4C61-A868-8B1805949EEF}"/>
    <cellStyle name="Normal 7 3" xfId="60" xr:uid="{00000000-0005-0000-0000-000061000000}"/>
    <cellStyle name="Normal 7 3 2" xfId="166" xr:uid="{979147E5-8B73-484E-8D4D-3355FAF74602}"/>
    <cellStyle name="Normal 7 4" xfId="116" xr:uid="{481234C2-2C97-4651-B497-189670D2EF3F}"/>
    <cellStyle name="Normal 8" xfId="11" xr:uid="{00000000-0005-0000-0000-000062000000}"/>
    <cellStyle name="Normal 8 2" xfId="35" xr:uid="{00000000-0005-0000-0000-000063000000}"/>
    <cellStyle name="Normal 8 2 2" xfId="85" xr:uid="{00000000-0005-0000-0000-000064000000}"/>
    <cellStyle name="Normal 8 2 2 2" xfId="191" xr:uid="{E6508822-C115-4F13-BF48-9D270CF66F62}"/>
    <cellStyle name="Normal 8 2 3" xfId="141" xr:uid="{3DEF8468-3429-40D7-BCBB-96C0BD688B7A}"/>
    <cellStyle name="Normal 8 3" xfId="61" xr:uid="{00000000-0005-0000-0000-000065000000}"/>
    <cellStyle name="Normal 8 3 2" xfId="167" xr:uid="{91C82304-F6E0-40E4-B2F9-D6F904EFF8C8}"/>
    <cellStyle name="Normal 8 4" xfId="117" xr:uid="{DCFC4AB0-5B8A-48A4-B95E-9441E0B2C54C}"/>
    <cellStyle name="Normal 9" xfId="12" xr:uid="{00000000-0005-0000-0000-000066000000}"/>
    <cellStyle name="Normal 9 2" xfId="36" xr:uid="{00000000-0005-0000-0000-000067000000}"/>
    <cellStyle name="Normal 9 2 2" xfId="86" xr:uid="{00000000-0005-0000-0000-000068000000}"/>
    <cellStyle name="Normal 9 2 2 2" xfId="192" xr:uid="{C9C0E1AF-3F42-4629-9023-77558E461F19}"/>
    <cellStyle name="Normal 9 2 3" xfId="142" xr:uid="{EEC9567D-3C92-43AD-BC65-F7C8B01FD8DA}"/>
    <cellStyle name="Normal 9 3" xfId="62" xr:uid="{00000000-0005-0000-0000-000069000000}"/>
    <cellStyle name="Normal 9 3 2" xfId="168" xr:uid="{244F733F-6BEA-41A4-8FDF-B3FCF5C8AB9E}"/>
    <cellStyle name="Normal 9 4" xfId="118" xr:uid="{47E0FEDD-1184-4D55-9146-10FF9A329EED}"/>
  </cellStyles>
  <dxfs count="3"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97"/>
  <sheetViews>
    <sheetView tabSelected="1" zoomScaleNormal="100" workbookViewId="0">
      <selection activeCell="H8" sqref="H8"/>
    </sheetView>
  </sheetViews>
  <sheetFormatPr defaultRowHeight="12.75" x14ac:dyDescent="0.2"/>
  <cols>
    <col min="1" max="1" width="7.140625" customWidth="1"/>
    <col min="2" max="4" width="13.7109375" customWidth="1"/>
    <col min="5" max="5" width="20.140625" customWidth="1"/>
    <col min="6" max="6" width="8" customWidth="1"/>
    <col min="7" max="8" width="11.7109375" customWidth="1"/>
    <col min="9" max="9" width="13.5703125" customWidth="1"/>
    <col min="10" max="11" width="12.7109375" customWidth="1"/>
  </cols>
  <sheetData>
    <row r="1" spans="1:33" ht="19.5" thickTop="1" thickBot="1" x14ac:dyDescent="0.3">
      <c r="A1" s="78"/>
      <c r="B1" s="79" t="s">
        <v>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ht="17.25" thickTop="1" thickBot="1" x14ac:dyDescent="0.3">
      <c r="A2" s="82"/>
      <c r="B2" s="83" t="s">
        <v>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</row>
    <row r="3" spans="1:33" ht="16.5" thickTop="1" thickBot="1" x14ac:dyDescent="0.25">
      <c r="A3" s="82"/>
      <c r="B3" s="86" t="s">
        <v>6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ht="16.5" thickTop="1" thickBot="1" x14ac:dyDescent="0.25">
      <c r="A4" s="87"/>
      <c r="B4" s="88" t="s">
        <v>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</row>
    <row r="5" spans="1:33" ht="13.5" thickTop="1" x14ac:dyDescent="0.2">
      <c r="A5" s="91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</row>
    <row r="6" spans="1:33" ht="18" x14ac:dyDescent="0.25">
      <c r="A6" s="92"/>
      <c r="B6" s="157" t="s">
        <v>8</v>
      </c>
      <c r="C6" s="158"/>
      <c r="D6" s="158"/>
      <c r="E6" s="159"/>
      <c r="F6" s="95"/>
      <c r="G6" s="95"/>
      <c r="H6" s="157" t="s">
        <v>9</v>
      </c>
      <c r="I6" s="158"/>
      <c r="J6" s="158"/>
      <c r="K6" s="159"/>
      <c r="L6" s="95"/>
      <c r="M6" s="98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</row>
    <row r="7" spans="1:33" x14ac:dyDescent="0.2">
      <c r="A7" s="92"/>
      <c r="B7" s="101" t="s">
        <v>1</v>
      </c>
      <c r="C7" s="102" t="s">
        <v>10</v>
      </c>
      <c r="D7" s="102" t="s">
        <v>2</v>
      </c>
      <c r="E7" s="102" t="s">
        <v>3</v>
      </c>
      <c r="F7" s="95"/>
      <c r="G7" s="95"/>
      <c r="H7" s="101" t="s">
        <v>1</v>
      </c>
      <c r="I7" s="102" t="s">
        <v>10</v>
      </c>
      <c r="J7" s="102" t="s">
        <v>2</v>
      </c>
      <c r="K7" s="102" t="s">
        <v>3</v>
      </c>
      <c r="L7" s="160"/>
      <c r="M7" s="98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</row>
    <row r="8" spans="1:33" x14ac:dyDescent="0.2">
      <c r="A8" s="92"/>
      <c r="B8" s="6">
        <v>46327</v>
      </c>
      <c r="C8" s="103">
        <f>VLOOKUP(B8,MaintainIndexes,2,FALSE)</f>
        <v>737.13</v>
      </c>
      <c r="D8" s="104">
        <f>VLOOKUP($B8,MaintainIndexes,3,FALSE)</f>
        <v>5.2784000000000004</v>
      </c>
      <c r="E8" s="104">
        <f>VLOOKUP($B8,MaintainIndexes,4,FALSE)</f>
        <v>3.3822999999999999</v>
      </c>
      <c r="F8" s="95"/>
      <c r="G8" s="95" t="s">
        <v>11</v>
      </c>
      <c r="H8" s="7">
        <v>46327</v>
      </c>
      <c r="I8" s="103">
        <f>VLOOKUP(H8,MaintainIndexes,2,FALSE)</f>
        <v>737.13</v>
      </c>
      <c r="J8" s="104">
        <f>VLOOKUP($H8,MaintainIndexes,3,FALSE)</f>
        <v>5.2784000000000004</v>
      </c>
      <c r="K8" s="104">
        <f>VLOOKUP($H8,MaintainIndexes,4,FALSE)</f>
        <v>3.3822999999999999</v>
      </c>
      <c r="L8" s="160"/>
      <c r="M8" s="98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</row>
    <row r="9" spans="1:33" ht="13.5" thickBot="1" x14ac:dyDescent="0.25">
      <c r="A9" s="93"/>
      <c r="B9" s="96"/>
      <c r="C9" s="96"/>
      <c r="D9" s="100"/>
      <c r="E9" s="100"/>
      <c r="F9" s="96"/>
      <c r="G9" s="96"/>
      <c r="H9" s="96"/>
      <c r="I9" s="96"/>
      <c r="J9" s="96"/>
      <c r="K9" s="96"/>
      <c r="L9" s="96"/>
      <c r="M9" s="99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</row>
    <row r="10" spans="1:33" ht="13.5" thickTop="1" x14ac:dyDescent="0.2">
      <c r="A10" s="92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8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</row>
    <row r="11" spans="1:33" x14ac:dyDescent="0.2">
      <c r="A11" s="92"/>
      <c r="B11" s="149" t="s">
        <v>12</v>
      </c>
      <c r="C11" s="149"/>
      <c r="D11" s="149"/>
      <c r="E11" s="149"/>
      <c r="F11" s="149" t="s">
        <v>13</v>
      </c>
      <c r="G11" s="149" t="s">
        <v>14</v>
      </c>
      <c r="H11" s="149"/>
      <c r="I11" s="149" t="s">
        <v>15</v>
      </c>
      <c r="J11" s="149"/>
      <c r="K11" s="149"/>
      <c r="L11" s="95"/>
      <c r="M11" s="98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</row>
    <row r="12" spans="1:33" x14ac:dyDescent="0.2">
      <c r="A12" s="92"/>
      <c r="B12" s="149"/>
      <c r="C12" s="149"/>
      <c r="D12" s="149"/>
      <c r="E12" s="149"/>
      <c r="F12" s="149"/>
      <c r="G12" s="113" t="s">
        <v>2</v>
      </c>
      <c r="H12" s="113" t="s">
        <v>3</v>
      </c>
      <c r="I12" s="114" t="s">
        <v>2</v>
      </c>
      <c r="J12" s="114" t="s">
        <v>3</v>
      </c>
      <c r="K12" s="114" t="s">
        <v>16</v>
      </c>
      <c r="L12" s="95"/>
      <c r="M12" s="98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</row>
    <row r="13" spans="1:33" x14ac:dyDescent="0.2">
      <c r="A13" s="92"/>
      <c r="B13" s="146" t="s">
        <v>17</v>
      </c>
      <c r="C13" s="146"/>
      <c r="D13" s="146"/>
      <c r="E13" s="146"/>
      <c r="F13" s="105" t="s">
        <v>18</v>
      </c>
      <c r="G13" s="106">
        <v>0.28999999999999998</v>
      </c>
      <c r="H13" s="106">
        <v>0.15</v>
      </c>
      <c r="I13" s="107">
        <f t="shared" ref="I13:I26" si="0">ROUND(G13*DieselChange,2)</f>
        <v>0</v>
      </c>
      <c r="J13" s="107">
        <f>ROUND(H13*UnleadedChange,2)</f>
        <v>0</v>
      </c>
      <c r="K13" s="107">
        <f>I13+J13</f>
        <v>0</v>
      </c>
      <c r="L13" s="95"/>
      <c r="M13" s="98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</row>
    <row r="14" spans="1:33" x14ac:dyDescent="0.2">
      <c r="A14" s="92"/>
      <c r="B14" s="146" t="s">
        <v>19</v>
      </c>
      <c r="C14" s="146"/>
      <c r="D14" s="146"/>
      <c r="E14" s="146"/>
      <c r="F14" s="105" t="s">
        <v>18</v>
      </c>
      <c r="G14" s="106">
        <v>0.28999999999999998</v>
      </c>
      <c r="H14" s="106">
        <v>0.15</v>
      </c>
      <c r="I14" s="107">
        <f t="shared" si="0"/>
        <v>0</v>
      </c>
      <c r="J14" s="107">
        <f t="shared" ref="J14:J26" si="1">ROUND(H14*UnleadedChange,2)</f>
        <v>0</v>
      </c>
      <c r="K14" s="107">
        <f t="shared" ref="K14:K26" si="2">I14+J14</f>
        <v>0</v>
      </c>
      <c r="L14" s="95"/>
      <c r="M14" s="98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</row>
    <row r="15" spans="1:33" x14ac:dyDescent="0.2">
      <c r="A15" s="92"/>
      <c r="B15" s="146" t="s">
        <v>21</v>
      </c>
      <c r="C15" s="146"/>
      <c r="D15" s="146"/>
      <c r="E15" s="146"/>
      <c r="F15" s="105" t="s">
        <v>20</v>
      </c>
      <c r="G15" s="106">
        <v>0.1</v>
      </c>
      <c r="H15" s="106">
        <v>0.06</v>
      </c>
      <c r="I15" s="107">
        <f t="shared" si="0"/>
        <v>0</v>
      </c>
      <c r="J15" s="107">
        <f t="shared" si="1"/>
        <v>0</v>
      </c>
      <c r="K15" s="107">
        <f t="shared" si="2"/>
        <v>0</v>
      </c>
      <c r="L15" s="95"/>
      <c r="M15" s="98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</row>
    <row r="16" spans="1:33" x14ac:dyDescent="0.2">
      <c r="A16" s="92"/>
      <c r="B16" s="146" t="s">
        <v>22</v>
      </c>
      <c r="C16" s="146"/>
      <c r="D16" s="146"/>
      <c r="E16" s="146"/>
      <c r="F16" s="105" t="s">
        <v>20</v>
      </c>
      <c r="G16" s="106">
        <v>0.13</v>
      </c>
      <c r="H16" s="106">
        <v>0.06</v>
      </c>
      <c r="I16" s="107">
        <f t="shared" si="0"/>
        <v>0</v>
      </c>
      <c r="J16" s="107">
        <f t="shared" si="1"/>
        <v>0</v>
      </c>
      <c r="K16" s="107">
        <f t="shared" si="2"/>
        <v>0</v>
      </c>
      <c r="L16" s="95"/>
      <c r="M16" s="98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</row>
    <row r="17" spans="1:33" x14ac:dyDescent="0.2">
      <c r="A17" s="92"/>
      <c r="B17" s="146" t="s">
        <v>58</v>
      </c>
      <c r="C17" s="146"/>
      <c r="D17" s="146"/>
      <c r="E17" s="146"/>
      <c r="F17" s="105" t="s">
        <v>20</v>
      </c>
      <c r="G17" s="106">
        <v>0.16</v>
      </c>
      <c r="H17" s="106">
        <v>0.1</v>
      </c>
      <c r="I17" s="107">
        <f>ROUND(G17*DieselChange,2)</f>
        <v>0</v>
      </c>
      <c r="J17" s="107">
        <f>ROUND(H17*UnleadedChange,2)</f>
        <v>0</v>
      </c>
      <c r="K17" s="107">
        <f>I17+J17</f>
        <v>0</v>
      </c>
      <c r="L17" s="95"/>
      <c r="M17" s="98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</row>
    <row r="18" spans="1:33" x14ac:dyDescent="0.2">
      <c r="A18" s="92"/>
      <c r="B18" s="146" t="s">
        <v>23</v>
      </c>
      <c r="C18" s="146"/>
      <c r="D18" s="146"/>
      <c r="E18" s="146"/>
      <c r="F18" s="105" t="s">
        <v>24</v>
      </c>
      <c r="G18" s="106">
        <v>2.9</v>
      </c>
      <c r="H18" s="106">
        <v>0.71</v>
      </c>
      <c r="I18" s="107">
        <f t="shared" si="0"/>
        <v>0</v>
      </c>
      <c r="J18" s="107">
        <f t="shared" si="1"/>
        <v>0</v>
      </c>
      <c r="K18" s="107">
        <f t="shared" si="2"/>
        <v>0</v>
      </c>
      <c r="L18" s="95"/>
      <c r="M18" s="98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</row>
    <row r="19" spans="1:33" x14ac:dyDescent="0.2">
      <c r="A19" s="92"/>
      <c r="B19" s="146" t="s">
        <v>62</v>
      </c>
      <c r="C19" s="146"/>
      <c r="D19" s="146"/>
      <c r="E19" s="146"/>
      <c r="F19" s="105" t="s">
        <v>20</v>
      </c>
      <c r="G19" s="106">
        <v>0.64</v>
      </c>
      <c r="H19" s="106">
        <v>0.16</v>
      </c>
      <c r="I19" s="107">
        <f t="shared" si="0"/>
        <v>0</v>
      </c>
      <c r="J19" s="107">
        <f t="shared" si="1"/>
        <v>0</v>
      </c>
      <c r="K19" s="107">
        <f t="shared" si="2"/>
        <v>0</v>
      </c>
      <c r="L19" s="95"/>
      <c r="M19" s="98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</row>
    <row r="20" spans="1:33" x14ac:dyDescent="0.2">
      <c r="A20" s="92"/>
      <c r="B20" s="146" t="s">
        <v>63</v>
      </c>
      <c r="C20" s="146"/>
      <c r="D20" s="146"/>
      <c r="E20" s="146"/>
      <c r="F20" s="105" t="s">
        <v>20</v>
      </c>
      <c r="G20" s="106">
        <v>0.96</v>
      </c>
      <c r="H20" s="106">
        <v>0.23</v>
      </c>
      <c r="I20" s="107">
        <f t="shared" si="0"/>
        <v>0</v>
      </c>
      <c r="J20" s="107">
        <f t="shared" si="1"/>
        <v>0</v>
      </c>
      <c r="K20" s="107">
        <f t="shared" si="2"/>
        <v>0</v>
      </c>
      <c r="L20" s="95"/>
      <c r="M20" s="98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</row>
    <row r="21" spans="1:33" x14ac:dyDescent="0.2">
      <c r="A21" s="92"/>
      <c r="B21" s="146" t="s">
        <v>64</v>
      </c>
      <c r="C21" s="146"/>
      <c r="D21" s="146"/>
      <c r="E21" s="146"/>
      <c r="F21" s="105" t="s">
        <v>20</v>
      </c>
      <c r="G21" s="106">
        <v>1.28</v>
      </c>
      <c r="H21" s="106">
        <v>0.31</v>
      </c>
      <c r="I21" s="107">
        <f t="shared" si="0"/>
        <v>0</v>
      </c>
      <c r="J21" s="107">
        <f t="shared" si="1"/>
        <v>0</v>
      </c>
      <c r="K21" s="107">
        <f t="shared" si="2"/>
        <v>0</v>
      </c>
      <c r="L21" s="95"/>
      <c r="M21" s="98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</row>
    <row r="22" spans="1:33" x14ac:dyDescent="0.2">
      <c r="A22" s="92"/>
      <c r="B22" s="146" t="s">
        <v>65</v>
      </c>
      <c r="C22" s="146"/>
      <c r="D22" s="146"/>
      <c r="E22" s="146"/>
      <c r="F22" s="105" t="s">
        <v>20</v>
      </c>
      <c r="G22" s="106">
        <v>1.6</v>
      </c>
      <c r="H22" s="106">
        <v>0.39</v>
      </c>
      <c r="I22" s="107">
        <f t="shared" si="0"/>
        <v>0</v>
      </c>
      <c r="J22" s="107">
        <f t="shared" si="1"/>
        <v>0</v>
      </c>
      <c r="K22" s="107">
        <f t="shared" si="2"/>
        <v>0</v>
      </c>
      <c r="L22" s="95"/>
      <c r="M22" s="98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</row>
    <row r="23" spans="1:33" x14ac:dyDescent="0.2">
      <c r="A23" s="92"/>
      <c r="B23" s="146" t="s">
        <v>66</v>
      </c>
      <c r="C23" s="146"/>
      <c r="D23" s="146"/>
      <c r="E23" s="146"/>
      <c r="F23" s="105" t="s">
        <v>20</v>
      </c>
      <c r="G23" s="106">
        <v>1.91</v>
      </c>
      <c r="H23" s="106">
        <v>0.47</v>
      </c>
      <c r="I23" s="107">
        <f t="shared" si="0"/>
        <v>0</v>
      </c>
      <c r="J23" s="107">
        <f t="shared" si="1"/>
        <v>0</v>
      </c>
      <c r="K23" s="107">
        <f t="shared" si="2"/>
        <v>0</v>
      </c>
      <c r="L23" s="95"/>
      <c r="M23" s="98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</row>
    <row r="24" spans="1:33" x14ac:dyDescent="0.2">
      <c r="A24" s="92"/>
      <c r="B24" s="146" t="s">
        <v>25</v>
      </c>
      <c r="C24" s="146"/>
      <c r="D24" s="146"/>
      <c r="E24" s="146"/>
      <c r="F24" s="105" t="s">
        <v>20</v>
      </c>
      <c r="G24" s="106">
        <v>0.25</v>
      </c>
      <c r="H24" s="106">
        <v>0.2</v>
      </c>
      <c r="I24" s="107">
        <f t="shared" si="0"/>
        <v>0</v>
      </c>
      <c r="J24" s="107">
        <f t="shared" si="1"/>
        <v>0</v>
      </c>
      <c r="K24" s="107">
        <f t="shared" si="2"/>
        <v>0</v>
      </c>
      <c r="L24" s="95"/>
      <c r="M24" s="98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</row>
    <row r="25" spans="1:33" x14ac:dyDescent="0.2">
      <c r="A25" s="92"/>
      <c r="B25" s="146" t="s">
        <v>26</v>
      </c>
      <c r="C25" s="146"/>
      <c r="D25" s="146"/>
      <c r="E25" s="146"/>
      <c r="F25" s="105" t="s">
        <v>18</v>
      </c>
      <c r="G25" s="106">
        <v>1</v>
      </c>
      <c r="H25" s="106">
        <v>0.2</v>
      </c>
      <c r="I25" s="107">
        <f t="shared" si="0"/>
        <v>0</v>
      </c>
      <c r="J25" s="107">
        <f t="shared" si="1"/>
        <v>0</v>
      </c>
      <c r="K25" s="107">
        <f t="shared" si="2"/>
        <v>0</v>
      </c>
      <c r="L25" s="95"/>
      <c r="M25" s="98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</row>
    <row r="26" spans="1:33" x14ac:dyDescent="0.2">
      <c r="A26" s="92"/>
      <c r="B26" s="146" t="s">
        <v>27</v>
      </c>
      <c r="C26" s="146"/>
      <c r="D26" s="146"/>
      <c r="E26" s="146"/>
      <c r="F26" s="105" t="s">
        <v>28</v>
      </c>
      <c r="G26" s="106">
        <v>0.5</v>
      </c>
      <c r="H26" s="106">
        <v>0.15</v>
      </c>
      <c r="I26" s="107">
        <f t="shared" si="0"/>
        <v>0</v>
      </c>
      <c r="J26" s="107">
        <f t="shared" si="1"/>
        <v>0</v>
      </c>
      <c r="K26" s="107">
        <f t="shared" si="2"/>
        <v>0</v>
      </c>
      <c r="L26" s="95"/>
      <c r="M26" s="98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</row>
    <row r="27" spans="1:33" x14ac:dyDescent="0.2">
      <c r="A27" s="92"/>
      <c r="B27" s="146" t="s">
        <v>29</v>
      </c>
      <c r="C27" s="146"/>
      <c r="D27" s="146"/>
      <c r="E27" s="146"/>
      <c r="F27" s="105" t="s">
        <v>28</v>
      </c>
      <c r="G27" s="106">
        <v>0.75</v>
      </c>
      <c r="H27" s="106">
        <v>0.15</v>
      </c>
      <c r="I27" s="107">
        <f t="shared" ref="I27:I28" si="3">ROUND(G27*DieselChange,2)</f>
        <v>0</v>
      </c>
      <c r="J27" s="107">
        <f t="shared" ref="J27:J28" si="4">ROUND(H27*UnleadedChange,2)</f>
        <v>0</v>
      </c>
      <c r="K27" s="107">
        <f t="shared" ref="K27:K28" si="5">I27+J27</f>
        <v>0</v>
      </c>
      <c r="L27" s="95"/>
      <c r="M27" s="98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</row>
    <row r="28" spans="1:33" x14ac:dyDescent="0.2">
      <c r="A28" s="92"/>
      <c r="B28" s="150" t="s">
        <v>81</v>
      </c>
      <c r="C28" s="146"/>
      <c r="D28" s="146"/>
      <c r="E28" s="146"/>
      <c r="F28" s="105" t="s">
        <v>28</v>
      </c>
      <c r="G28" s="106">
        <v>0.5</v>
      </c>
      <c r="H28" s="106">
        <v>0.15</v>
      </c>
      <c r="I28" s="107">
        <f t="shared" si="3"/>
        <v>0</v>
      </c>
      <c r="J28" s="107">
        <f t="shared" si="4"/>
        <v>0</v>
      </c>
      <c r="K28" s="107">
        <f t="shared" si="5"/>
        <v>0</v>
      </c>
      <c r="L28" s="95"/>
      <c r="M28" s="98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</row>
    <row r="29" spans="1:33" x14ac:dyDescent="0.2">
      <c r="A29" s="92"/>
      <c r="B29" s="150" t="s">
        <v>82</v>
      </c>
      <c r="C29" s="146"/>
      <c r="D29" s="146"/>
      <c r="E29" s="146"/>
      <c r="F29" s="105" t="s">
        <v>28</v>
      </c>
      <c r="G29" s="106">
        <v>0.75</v>
      </c>
      <c r="H29" s="106">
        <v>0.15</v>
      </c>
      <c r="I29" s="107">
        <f t="shared" ref="I29:I31" si="6">ROUND(G29*DieselChange,2)</f>
        <v>0</v>
      </c>
      <c r="J29" s="107">
        <f t="shared" ref="J29:J31" si="7">ROUND(H29*UnleadedChange,2)</f>
        <v>0</v>
      </c>
      <c r="K29" s="107">
        <f t="shared" ref="K29:K31" si="8">I29+J29</f>
        <v>0</v>
      </c>
      <c r="L29" s="95"/>
      <c r="M29" s="98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</row>
    <row r="30" spans="1:33" x14ac:dyDescent="0.2">
      <c r="A30" s="92"/>
      <c r="B30" s="150" t="s">
        <v>83</v>
      </c>
      <c r="C30" s="146"/>
      <c r="D30" s="146"/>
      <c r="E30" s="146"/>
      <c r="F30" s="105" t="s">
        <v>28</v>
      </c>
      <c r="G30" s="106">
        <v>0.5</v>
      </c>
      <c r="H30" s="106">
        <v>0.15</v>
      </c>
      <c r="I30" s="107">
        <f t="shared" si="6"/>
        <v>0</v>
      </c>
      <c r="J30" s="107">
        <f t="shared" si="7"/>
        <v>0</v>
      </c>
      <c r="K30" s="107">
        <f t="shared" si="8"/>
        <v>0</v>
      </c>
      <c r="L30" s="95"/>
      <c r="M30" s="98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</row>
    <row r="31" spans="1:33" x14ac:dyDescent="0.2">
      <c r="A31" s="92"/>
      <c r="B31" s="150" t="s">
        <v>84</v>
      </c>
      <c r="C31" s="146"/>
      <c r="D31" s="146"/>
      <c r="E31" s="146"/>
      <c r="F31" s="105" t="s">
        <v>28</v>
      </c>
      <c r="G31" s="106">
        <v>0.75</v>
      </c>
      <c r="H31" s="106">
        <v>0.15</v>
      </c>
      <c r="I31" s="107">
        <f t="shared" si="6"/>
        <v>0</v>
      </c>
      <c r="J31" s="107">
        <f t="shared" si="7"/>
        <v>0</v>
      </c>
      <c r="K31" s="107">
        <f t="shared" si="8"/>
        <v>0</v>
      </c>
      <c r="L31" s="95"/>
      <c r="M31" s="98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</row>
    <row r="32" spans="1:33" ht="13.5" thickBot="1" x14ac:dyDescent="0.25">
      <c r="A32" s="93"/>
      <c r="B32" s="115" t="s">
        <v>30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9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</row>
    <row r="33" spans="1:33" ht="13.5" thickTop="1" x14ac:dyDescent="0.2">
      <c r="A33" s="116"/>
      <c r="B33" s="95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9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</row>
    <row r="34" spans="1:33" x14ac:dyDescent="0.2">
      <c r="A34" s="92"/>
      <c r="B34" s="151" t="s">
        <v>31</v>
      </c>
      <c r="C34" s="152"/>
      <c r="D34" s="152"/>
      <c r="E34" s="153"/>
      <c r="F34" s="149" t="s">
        <v>13</v>
      </c>
      <c r="G34" s="136" t="s">
        <v>32</v>
      </c>
      <c r="H34" s="136"/>
      <c r="I34" s="136" t="s">
        <v>33</v>
      </c>
      <c r="J34" s="136"/>
      <c r="K34" s="123"/>
      <c r="L34" s="124"/>
      <c r="M34" s="125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</row>
    <row r="35" spans="1:33" x14ac:dyDescent="0.2">
      <c r="A35" s="92"/>
      <c r="B35" s="154"/>
      <c r="C35" s="155"/>
      <c r="D35" s="155"/>
      <c r="E35" s="156"/>
      <c r="F35" s="149"/>
      <c r="G35" s="136"/>
      <c r="H35" s="136"/>
      <c r="I35" s="136"/>
      <c r="J35" s="136"/>
      <c r="K35" s="124"/>
      <c r="L35" s="124"/>
      <c r="M35" s="125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</row>
    <row r="36" spans="1:33" x14ac:dyDescent="0.2">
      <c r="A36" s="92"/>
      <c r="B36" s="146" t="s">
        <v>34</v>
      </c>
      <c r="C36" s="146"/>
      <c r="D36" s="146"/>
      <c r="E36" s="146"/>
      <c r="F36" s="105" t="s">
        <v>24</v>
      </c>
      <c r="G36" s="147">
        <v>1</v>
      </c>
      <c r="H36" s="147"/>
      <c r="I36" s="134">
        <f t="shared" ref="I36:I42" si="9">ROUND((G36*AsphaltBinderChange),2)</f>
        <v>0</v>
      </c>
      <c r="J36" s="135"/>
      <c r="K36" s="124"/>
      <c r="L36" s="124"/>
      <c r="M36" s="125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</row>
    <row r="37" spans="1:33" x14ac:dyDescent="0.2">
      <c r="A37" s="92"/>
      <c r="B37" s="146" t="s">
        <v>35</v>
      </c>
      <c r="C37" s="146"/>
      <c r="D37" s="146"/>
      <c r="E37" s="146"/>
      <c r="F37" s="105" t="s">
        <v>24</v>
      </c>
      <c r="G37" s="147">
        <v>1</v>
      </c>
      <c r="H37" s="147"/>
      <c r="I37" s="134">
        <f t="shared" si="9"/>
        <v>0</v>
      </c>
      <c r="J37" s="135"/>
      <c r="K37" s="124"/>
      <c r="L37" s="124"/>
      <c r="M37" s="125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</row>
    <row r="38" spans="1:33" x14ac:dyDescent="0.2">
      <c r="A38" s="92"/>
      <c r="B38" s="146" t="s">
        <v>67</v>
      </c>
      <c r="C38" s="146"/>
      <c r="D38" s="146"/>
      <c r="E38" s="146"/>
      <c r="F38" s="105" t="s">
        <v>20</v>
      </c>
      <c r="G38" s="147">
        <v>1.0999999999999999E-2</v>
      </c>
      <c r="H38" s="147"/>
      <c r="I38" s="134">
        <f t="shared" si="9"/>
        <v>0</v>
      </c>
      <c r="J38" s="135"/>
      <c r="K38" s="124"/>
      <c r="L38" s="124"/>
      <c r="M38" s="125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</row>
    <row r="39" spans="1:33" x14ac:dyDescent="0.2">
      <c r="A39" s="92"/>
      <c r="B39" s="146" t="s">
        <v>68</v>
      </c>
      <c r="C39" s="146"/>
      <c r="D39" s="146"/>
      <c r="E39" s="146"/>
      <c r="F39" s="105" t="s">
        <v>20</v>
      </c>
      <c r="G39" s="147">
        <v>1.6500000000000001E-2</v>
      </c>
      <c r="H39" s="147"/>
      <c r="I39" s="134">
        <f t="shared" si="9"/>
        <v>0</v>
      </c>
      <c r="J39" s="135"/>
      <c r="K39" s="124"/>
      <c r="L39" s="124"/>
      <c r="M39" s="125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</row>
    <row r="40" spans="1:33" x14ac:dyDescent="0.2">
      <c r="A40" s="92"/>
      <c r="B40" s="146" t="s">
        <v>69</v>
      </c>
      <c r="C40" s="146"/>
      <c r="D40" s="146"/>
      <c r="E40" s="146"/>
      <c r="F40" s="105" t="s">
        <v>20</v>
      </c>
      <c r="G40" s="147">
        <v>2.1999999999999999E-2</v>
      </c>
      <c r="H40" s="147"/>
      <c r="I40" s="134">
        <f t="shared" si="9"/>
        <v>0</v>
      </c>
      <c r="J40" s="135"/>
      <c r="K40" s="124"/>
      <c r="L40" s="124"/>
      <c r="M40" s="125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</row>
    <row r="41" spans="1:33" x14ac:dyDescent="0.2">
      <c r="A41" s="92"/>
      <c r="B41" s="146" t="s">
        <v>70</v>
      </c>
      <c r="C41" s="146"/>
      <c r="D41" s="146"/>
      <c r="E41" s="146"/>
      <c r="F41" s="105" t="s">
        <v>20</v>
      </c>
      <c r="G41" s="147">
        <v>2.75E-2</v>
      </c>
      <c r="H41" s="147"/>
      <c r="I41" s="134">
        <f t="shared" si="9"/>
        <v>0</v>
      </c>
      <c r="J41" s="135"/>
      <c r="K41" s="124"/>
      <c r="L41" s="124"/>
      <c r="M41" s="125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</row>
    <row r="42" spans="1:33" x14ac:dyDescent="0.2">
      <c r="A42" s="92"/>
      <c r="B42" s="146" t="s">
        <v>71</v>
      </c>
      <c r="C42" s="146"/>
      <c r="D42" s="146"/>
      <c r="E42" s="146"/>
      <c r="F42" s="105" t="s">
        <v>20</v>
      </c>
      <c r="G42" s="147">
        <v>3.3000000000000002E-2</v>
      </c>
      <c r="H42" s="147"/>
      <c r="I42" s="134">
        <f t="shared" si="9"/>
        <v>0</v>
      </c>
      <c r="J42" s="135"/>
      <c r="K42" s="124"/>
      <c r="L42" s="124"/>
      <c r="M42" s="125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</row>
    <row r="43" spans="1:33" x14ac:dyDescent="0.2">
      <c r="A43" s="92"/>
      <c r="B43" s="128" t="s">
        <v>78</v>
      </c>
      <c r="C43" s="108"/>
      <c r="D43" s="108"/>
      <c r="E43" s="108"/>
      <c r="F43" s="105" t="s">
        <v>20</v>
      </c>
      <c r="G43" s="142">
        <v>7.7446808510638304E-4</v>
      </c>
      <c r="H43" s="141"/>
      <c r="I43" s="134">
        <f t="shared" ref="I43:I50" si="10">ROUND((G43*AsphaltBinderChange),2)</f>
        <v>0</v>
      </c>
      <c r="J43" s="135"/>
      <c r="K43" s="124"/>
      <c r="L43" s="124"/>
      <c r="M43" s="125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</row>
    <row r="44" spans="1:33" x14ac:dyDescent="0.2">
      <c r="A44" s="92"/>
      <c r="B44" s="127" t="s">
        <v>75</v>
      </c>
      <c r="C44" s="109"/>
      <c r="D44" s="109"/>
      <c r="E44" s="110"/>
      <c r="F44" s="105" t="s">
        <v>20</v>
      </c>
      <c r="G44" s="143">
        <v>1.5212765957446799E-3</v>
      </c>
      <c r="H44" s="144"/>
      <c r="I44" s="134">
        <f>ROUND((G44*AsphaltBinderChange),2)</f>
        <v>0</v>
      </c>
      <c r="J44" s="135"/>
      <c r="K44" s="124"/>
      <c r="L44" s="124"/>
      <c r="M44" s="125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</row>
    <row r="45" spans="1:33" x14ac:dyDescent="0.2">
      <c r="A45" s="92"/>
      <c r="B45" s="127" t="s">
        <v>76</v>
      </c>
      <c r="C45" s="109"/>
      <c r="D45" s="109"/>
      <c r="E45" s="110"/>
      <c r="F45" s="105" t="s">
        <v>20</v>
      </c>
      <c r="G45" s="143">
        <v>1.2723404255319201E-3</v>
      </c>
      <c r="H45" s="144"/>
      <c r="I45" s="134">
        <f>ROUND((G45*AsphaltBinderChange),2)</f>
        <v>0</v>
      </c>
      <c r="J45" s="135"/>
      <c r="K45" s="124"/>
      <c r="L45" s="124"/>
      <c r="M45" s="125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</row>
    <row r="46" spans="1:33" x14ac:dyDescent="0.2">
      <c r="A46" s="92"/>
      <c r="B46" s="127" t="s">
        <v>77</v>
      </c>
      <c r="C46" s="109"/>
      <c r="D46" s="109"/>
      <c r="E46" s="110"/>
      <c r="F46" s="111" t="s">
        <v>20</v>
      </c>
      <c r="G46" s="143">
        <v>1.3276595744680852E-3</v>
      </c>
      <c r="H46" s="144"/>
      <c r="I46" s="134">
        <f t="shared" si="10"/>
        <v>0</v>
      </c>
      <c r="J46" s="135"/>
      <c r="K46" s="124"/>
      <c r="L46" s="124"/>
      <c r="M46" s="125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</row>
    <row r="47" spans="1:33" x14ac:dyDescent="0.2">
      <c r="A47" s="92"/>
      <c r="B47" s="112" t="s">
        <v>80</v>
      </c>
      <c r="C47" s="112"/>
      <c r="D47" s="112"/>
      <c r="E47" s="112"/>
      <c r="F47" s="105" t="s">
        <v>20</v>
      </c>
      <c r="G47" s="142">
        <v>1.9638297872340425E-3</v>
      </c>
      <c r="H47" s="141"/>
      <c r="I47" s="134">
        <f t="shared" si="10"/>
        <v>0</v>
      </c>
      <c r="J47" s="135"/>
      <c r="K47" s="124"/>
      <c r="L47" s="124"/>
      <c r="M47" s="125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</row>
    <row r="48" spans="1:33" x14ac:dyDescent="0.2">
      <c r="A48" s="92"/>
      <c r="B48" s="145" t="s">
        <v>72</v>
      </c>
      <c r="C48" s="138"/>
      <c r="D48" s="138"/>
      <c r="E48" s="139"/>
      <c r="F48" s="105" t="s">
        <v>20</v>
      </c>
      <c r="G48" s="142">
        <v>7.2000000000000005E-4</v>
      </c>
      <c r="H48" s="141"/>
      <c r="I48" s="134">
        <f t="shared" si="10"/>
        <v>0</v>
      </c>
      <c r="J48" s="135"/>
      <c r="K48" s="124"/>
      <c r="L48" s="124"/>
      <c r="M48" s="125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</row>
    <row r="49" spans="1:33" x14ac:dyDescent="0.2">
      <c r="A49" s="92"/>
      <c r="B49" s="145" t="s">
        <v>73</v>
      </c>
      <c r="C49" s="138"/>
      <c r="D49" s="138"/>
      <c r="E49" s="139"/>
      <c r="F49" s="105" t="s">
        <v>24</v>
      </c>
      <c r="G49" s="142">
        <v>0.08</v>
      </c>
      <c r="H49" s="148"/>
      <c r="I49" s="134">
        <f t="shared" si="10"/>
        <v>0</v>
      </c>
      <c r="J49" s="135"/>
      <c r="K49" s="124"/>
      <c r="L49" s="124"/>
      <c r="M49" s="125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</row>
    <row r="50" spans="1:33" x14ac:dyDescent="0.2">
      <c r="A50" s="92"/>
      <c r="B50" s="145" t="s">
        <v>55</v>
      </c>
      <c r="C50" s="138"/>
      <c r="D50" s="138"/>
      <c r="E50" s="139"/>
      <c r="F50" s="105" t="s">
        <v>56</v>
      </c>
      <c r="G50" s="142">
        <v>2.8E-3</v>
      </c>
      <c r="H50" s="141"/>
      <c r="I50" s="134">
        <f t="shared" si="10"/>
        <v>0</v>
      </c>
      <c r="J50" s="135"/>
      <c r="K50" s="124"/>
      <c r="L50" s="124"/>
      <c r="M50" s="125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</row>
    <row r="51" spans="1:33" ht="12.75" customHeight="1" x14ac:dyDescent="0.2">
      <c r="A51" s="92"/>
      <c r="B51" s="137" t="s">
        <v>74</v>
      </c>
      <c r="C51" s="138"/>
      <c r="D51" s="138"/>
      <c r="E51" s="139"/>
      <c r="F51" s="126" t="s">
        <v>20</v>
      </c>
      <c r="G51" s="140">
        <v>2.5999999999999999E-3</v>
      </c>
      <c r="H51" s="141"/>
      <c r="I51" s="134">
        <f>ROUND((G51*AsphaltBinderChange),2)</f>
        <v>0</v>
      </c>
      <c r="J51" s="135"/>
      <c r="K51" s="124"/>
      <c r="L51" s="124"/>
      <c r="M51" s="125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</row>
    <row r="52" spans="1:33" x14ac:dyDescent="0.2">
      <c r="A52" s="92"/>
      <c r="B52" s="118" t="s">
        <v>30</v>
      </c>
      <c r="C52" s="119"/>
      <c r="D52" s="119"/>
      <c r="E52" s="119"/>
      <c r="F52" s="120"/>
      <c r="G52" s="121"/>
      <c r="H52" s="121"/>
      <c r="I52" s="122"/>
      <c r="J52" s="122"/>
      <c r="K52" s="95"/>
      <c r="L52" s="95"/>
      <c r="M52" s="98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</row>
    <row r="53" spans="1:33" x14ac:dyDescent="0.2">
      <c r="A53" s="92"/>
      <c r="B53" s="118"/>
      <c r="C53" s="119"/>
      <c r="D53" s="119"/>
      <c r="E53" s="119"/>
      <c r="F53" s="120"/>
      <c r="G53" s="121"/>
      <c r="H53" s="121"/>
      <c r="I53" s="122"/>
      <c r="J53" s="122"/>
      <c r="K53" s="95"/>
      <c r="L53" s="95"/>
      <c r="M53" s="98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</row>
    <row r="54" spans="1:33" x14ac:dyDescent="0.2">
      <c r="A54" s="92"/>
      <c r="B54" s="118"/>
      <c r="C54" s="119"/>
      <c r="D54" s="119"/>
      <c r="E54" s="119"/>
      <c r="F54" s="120"/>
      <c r="G54" s="121"/>
      <c r="H54" s="121"/>
      <c r="I54" s="122"/>
      <c r="J54" s="122"/>
      <c r="K54" s="95"/>
      <c r="L54" s="95"/>
      <c r="M54" s="98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</row>
    <row r="55" spans="1:33" x14ac:dyDescent="0.2">
      <c r="A55" s="92"/>
      <c r="B55" s="118"/>
      <c r="C55" s="119"/>
      <c r="D55" s="119"/>
      <c r="E55" s="119"/>
      <c r="F55" s="120"/>
      <c r="G55" s="121"/>
      <c r="H55" s="121"/>
      <c r="I55" s="122"/>
      <c r="J55" s="122"/>
      <c r="K55" s="95"/>
      <c r="L55" s="95"/>
      <c r="M55" s="98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</row>
    <row r="56" spans="1:33" x14ac:dyDescent="0.2">
      <c r="A56" s="92"/>
      <c r="B56" s="118"/>
      <c r="C56" s="119"/>
      <c r="D56" s="119"/>
      <c r="E56" s="119"/>
      <c r="F56" s="120"/>
      <c r="G56" s="121"/>
      <c r="H56" s="121"/>
      <c r="I56" s="122"/>
      <c r="J56" s="122"/>
      <c r="K56" s="95"/>
      <c r="L56" s="95"/>
      <c r="M56" s="98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x14ac:dyDescent="0.2">
      <c r="A57" s="92"/>
      <c r="B57" s="118"/>
      <c r="C57" s="119"/>
      <c r="D57" s="119"/>
      <c r="E57" s="119"/>
      <c r="F57" s="120"/>
      <c r="G57" s="121"/>
      <c r="H57" s="121"/>
      <c r="I57" s="122"/>
      <c r="J57" s="122"/>
      <c r="K57" s="95"/>
      <c r="L57" s="95"/>
      <c r="M57" s="98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</row>
    <row r="58" spans="1:33" x14ac:dyDescent="0.2">
      <c r="A58" s="92"/>
      <c r="B58" s="118"/>
      <c r="C58" s="119"/>
      <c r="D58" s="119"/>
      <c r="E58" s="119"/>
      <c r="F58" s="120"/>
      <c r="G58" s="121"/>
      <c r="H58" s="121"/>
      <c r="I58" s="122"/>
      <c r="J58" s="122"/>
      <c r="K58" s="95"/>
      <c r="L58" s="95"/>
      <c r="M58" s="98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</row>
    <row r="59" spans="1:33" x14ac:dyDescent="0.2">
      <c r="A59" s="92"/>
      <c r="B59" s="118"/>
      <c r="C59" s="119"/>
      <c r="D59" s="119"/>
      <c r="E59" s="119"/>
      <c r="F59" s="120"/>
      <c r="G59" s="121"/>
      <c r="H59" s="121"/>
      <c r="I59" s="122"/>
      <c r="J59" s="122"/>
      <c r="K59" s="95"/>
      <c r="L59" s="95"/>
      <c r="M59" s="98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</row>
    <row r="60" spans="1:33" x14ac:dyDescent="0.2">
      <c r="A60" s="92"/>
      <c r="B60" s="118"/>
      <c r="C60" s="119"/>
      <c r="D60" s="119"/>
      <c r="E60" s="119"/>
      <c r="F60" s="120"/>
      <c r="G60" s="121"/>
      <c r="H60" s="121"/>
      <c r="I60" s="122"/>
      <c r="J60" s="122"/>
      <c r="K60" s="95"/>
      <c r="L60" s="95"/>
      <c r="M60" s="98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</row>
    <row r="61" spans="1:33" ht="13.5" thickBot="1" x14ac:dyDescent="0.25">
      <c r="A61" s="93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9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</row>
    <row r="62" spans="1:33" ht="13.5" thickTop="1" x14ac:dyDescent="0.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</row>
    <row r="63" spans="1:33" x14ac:dyDescent="0.2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</row>
    <row r="64" spans="1:33" x14ac:dyDescent="0.2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</row>
    <row r="65" spans="1:33" x14ac:dyDescent="0.2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</row>
    <row r="66" spans="1:33" x14ac:dyDescent="0.2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</row>
    <row r="67" spans="1:33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</row>
    <row r="68" spans="1:33" x14ac:dyDescent="0.2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</row>
    <row r="69" spans="1:33" x14ac:dyDescent="0.2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</row>
    <row r="70" spans="1:33" x14ac:dyDescent="0.2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</row>
    <row r="71" spans="1:33" x14ac:dyDescent="0.2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</row>
    <row r="72" spans="1:33" x14ac:dyDescent="0.2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</row>
    <row r="73" spans="1:33" x14ac:dyDescent="0.2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x14ac:dyDescent="0.2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</row>
    <row r="75" spans="1:33" x14ac:dyDescent="0.2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</row>
    <row r="76" spans="1:33" x14ac:dyDescent="0.2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</row>
    <row r="77" spans="1:33" x14ac:dyDescent="0.2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</row>
    <row r="78" spans="1:33" x14ac:dyDescent="0.2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</row>
    <row r="79" spans="1:33" x14ac:dyDescent="0.2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</row>
    <row r="80" spans="1:33" x14ac:dyDescent="0.2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33" x14ac:dyDescent="0.2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</row>
    <row r="82" spans="1:33" x14ac:dyDescent="0.2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</row>
    <row r="83" spans="1:33" x14ac:dyDescent="0.2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</row>
    <row r="84" spans="1:33" x14ac:dyDescent="0.2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</row>
    <row r="85" spans="1:33" x14ac:dyDescent="0.2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</row>
    <row r="86" spans="1:33" x14ac:dyDescent="0.2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</row>
    <row r="87" spans="1:33" x14ac:dyDescent="0.2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</row>
    <row r="88" spans="1:33" x14ac:dyDescent="0.2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</row>
    <row r="89" spans="1:33" x14ac:dyDescent="0.2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</row>
    <row r="90" spans="1:33" x14ac:dyDescent="0.2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</row>
    <row r="91" spans="1:33" x14ac:dyDescent="0.2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</row>
    <row r="92" spans="1:33" x14ac:dyDescent="0.2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</row>
    <row r="93" spans="1:33" x14ac:dyDescent="0.2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</row>
    <row r="94" spans="1:33" x14ac:dyDescent="0.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</row>
    <row r="95" spans="1:33" x14ac:dyDescent="0.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</row>
    <row r="96" spans="1:33" x14ac:dyDescent="0.2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</row>
    <row r="97" spans="1:33" x14ac:dyDescent="0.2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</row>
  </sheetData>
  <mergeCells count="73">
    <mergeCell ref="B6:E6"/>
    <mergeCell ref="L7:L8"/>
    <mergeCell ref="B11:E12"/>
    <mergeCell ref="F11:F12"/>
    <mergeCell ref="G11:H11"/>
    <mergeCell ref="I11:K11"/>
    <mergeCell ref="H6:K6"/>
    <mergeCell ref="B23:E23"/>
    <mergeCell ref="B13:E13"/>
    <mergeCell ref="B14:E14"/>
    <mergeCell ref="B15:E15"/>
    <mergeCell ref="B16:E16"/>
    <mergeCell ref="B18:E18"/>
    <mergeCell ref="B19:E19"/>
    <mergeCell ref="B20:E20"/>
    <mergeCell ref="B21:E21"/>
    <mergeCell ref="B22:E22"/>
    <mergeCell ref="B17:E17"/>
    <mergeCell ref="B37:E37"/>
    <mergeCell ref="G38:H38"/>
    <mergeCell ref="B24:E24"/>
    <mergeCell ref="B25:E25"/>
    <mergeCell ref="B26:E26"/>
    <mergeCell ref="B28:E28"/>
    <mergeCell ref="B34:E35"/>
    <mergeCell ref="B27:E27"/>
    <mergeCell ref="B29:E29"/>
    <mergeCell ref="B30:E30"/>
    <mergeCell ref="B31:E31"/>
    <mergeCell ref="I50:J50"/>
    <mergeCell ref="B48:E48"/>
    <mergeCell ref="I34:J35"/>
    <mergeCell ref="B36:E36"/>
    <mergeCell ref="G36:H36"/>
    <mergeCell ref="I36:J36"/>
    <mergeCell ref="G40:H40"/>
    <mergeCell ref="I40:J40"/>
    <mergeCell ref="G37:H37"/>
    <mergeCell ref="I37:J37"/>
    <mergeCell ref="F34:F35"/>
    <mergeCell ref="B40:E40"/>
    <mergeCell ref="B39:E39"/>
    <mergeCell ref="G39:H39"/>
    <mergeCell ref="I39:J39"/>
    <mergeCell ref="B38:E38"/>
    <mergeCell ref="G48:H48"/>
    <mergeCell ref="I48:J48"/>
    <mergeCell ref="B49:E49"/>
    <mergeCell ref="G49:H49"/>
    <mergeCell ref="I49:J49"/>
    <mergeCell ref="B41:E41"/>
    <mergeCell ref="G41:H41"/>
    <mergeCell ref="I41:J41"/>
    <mergeCell ref="I45:J45"/>
    <mergeCell ref="G42:H42"/>
    <mergeCell ref="I42:J42"/>
    <mergeCell ref="B42:E42"/>
    <mergeCell ref="I38:J38"/>
    <mergeCell ref="G34:H35"/>
    <mergeCell ref="B51:E51"/>
    <mergeCell ref="G51:H51"/>
    <mergeCell ref="I51:J51"/>
    <mergeCell ref="G43:H43"/>
    <mergeCell ref="G47:H47"/>
    <mergeCell ref="I47:J47"/>
    <mergeCell ref="G46:H46"/>
    <mergeCell ref="I43:J43"/>
    <mergeCell ref="G44:H44"/>
    <mergeCell ref="G45:H45"/>
    <mergeCell ref="I46:J46"/>
    <mergeCell ref="I44:J44"/>
    <mergeCell ref="B50:E50"/>
    <mergeCell ref="G50:H50"/>
  </mergeCells>
  <phoneticPr fontId="0" type="noConversion"/>
  <dataValidations count="1">
    <dataValidation type="list" allowBlank="1" showInputMessage="1" showErrorMessage="1" sqref="B8 H8" xr:uid="{00000000-0002-0000-0000-000000000000}">
      <formula1>Validdates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"/>
  <sheetViews>
    <sheetView zoomScale="130" zoomScaleNormal="130" workbookViewId="0">
      <pane ySplit="3" topLeftCell="A4" activePane="bottomLeft" state="frozen"/>
      <selection activeCell="N12" sqref="N12"/>
      <selection pane="bottomLeft" activeCell="E5" sqref="E5"/>
    </sheetView>
  </sheetViews>
  <sheetFormatPr defaultRowHeight="12.75" x14ac:dyDescent="0.2"/>
  <cols>
    <col min="2" max="2" width="9.7109375" bestFit="1" customWidth="1"/>
    <col min="3" max="3" width="13.28515625" bestFit="1" customWidth="1"/>
    <col min="4" max="4" width="9.85546875" bestFit="1" customWidth="1"/>
    <col min="5" max="5" width="10.85546875" bestFit="1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8" x14ac:dyDescent="0.25">
      <c r="A2" s="2"/>
      <c r="B2" s="161" t="s">
        <v>0</v>
      </c>
      <c r="C2" s="161"/>
      <c r="D2" s="161"/>
      <c r="E2" s="161"/>
      <c r="F2" s="2"/>
    </row>
    <row r="3" spans="1:6" x14ac:dyDescent="0.2">
      <c r="A3" s="2"/>
      <c r="B3" s="3" t="s">
        <v>1</v>
      </c>
      <c r="C3" s="3" t="s">
        <v>10</v>
      </c>
      <c r="D3" s="3" t="s">
        <v>2</v>
      </c>
      <c r="E3" s="3" t="s">
        <v>3</v>
      </c>
      <c r="F3" s="2"/>
    </row>
    <row r="4" spans="1:6" x14ac:dyDescent="0.2">
      <c r="A4" s="2"/>
      <c r="B4" s="133">
        <v>46327</v>
      </c>
      <c r="C4" s="131">
        <v>737.13</v>
      </c>
      <c r="D4" s="132">
        <v>5.2784000000000004</v>
      </c>
      <c r="E4" s="132">
        <v>3.3822999999999999</v>
      </c>
      <c r="F4" s="2"/>
    </row>
    <row r="5" spans="1:6" x14ac:dyDescent="0.2">
      <c r="A5" s="2"/>
      <c r="B5" s="133">
        <v>46296</v>
      </c>
      <c r="C5" s="131">
        <v>736.5</v>
      </c>
      <c r="D5" s="132">
        <v>5.2949999999999999</v>
      </c>
      <c r="E5" s="132">
        <v>3.5068999999999999</v>
      </c>
      <c r="F5" s="2"/>
    </row>
    <row r="6" spans="1:6" x14ac:dyDescent="0.2">
      <c r="A6" s="2"/>
      <c r="B6" s="133">
        <v>46266</v>
      </c>
      <c r="C6" s="131">
        <v>735.4</v>
      </c>
      <c r="D6" s="132">
        <v>4.68</v>
      </c>
      <c r="E6" s="132">
        <v>3.1554000000000002</v>
      </c>
      <c r="F6" s="2"/>
    </row>
    <row r="7" spans="1:6" x14ac:dyDescent="0.2">
      <c r="A7" s="2"/>
      <c r="B7" s="4">
        <v>46235</v>
      </c>
      <c r="C7" s="131">
        <v>741.53</v>
      </c>
      <c r="D7" s="132">
        <v>4.2854000000000001</v>
      </c>
      <c r="E7" s="132">
        <v>3.1537999999999999</v>
      </c>
      <c r="F7" s="2"/>
    </row>
    <row r="8" spans="1:6" x14ac:dyDescent="0.2">
      <c r="A8" s="2"/>
      <c r="B8" s="4">
        <v>46204</v>
      </c>
      <c r="C8" s="131">
        <v>742.5</v>
      </c>
      <c r="D8" s="132">
        <v>3.9173</v>
      </c>
      <c r="E8" s="132">
        <v>3.0605000000000002</v>
      </c>
      <c r="F8" s="2"/>
    </row>
    <row r="9" spans="1:6" x14ac:dyDescent="0.2">
      <c r="A9" s="2"/>
      <c r="B9" s="4">
        <v>46174</v>
      </c>
      <c r="C9" s="129">
        <v>752.11</v>
      </c>
      <c r="D9" s="130">
        <v>4.4367000000000001</v>
      </c>
      <c r="E9" s="130">
        <v>3.6078000000000001</v>
      </c>
      <c r="F9" s="2"/>
    </row>
    <row r="10" spans="1:6" x14ac:dyDescent="0.2">
      <c r="A10" s="2"/>
      <c r="B10" s="4">
        <v>46143</v>
      </c>
      <c r="C10" s="129">
        <v>727.63</v>
      </c>
      <c r="D10" s="130">
        <v>4.4624442499999999</v>
      </c>
      <c r="E10" s="130">
        <v>3.3485613928571434</v>
      </c>
      <c r="F10" s="2"/>
    </row>
    <row r="11" spans="1:6" x14ac:dyDescent="0.2">
      <c r="A11" s="2"/>
      <c r="B11" s="4">
        <v>46113</v>
      </c>
      <c r="C11" s="129">
        <v>680</v>
      </c>
      <c r="D11" s="130">
        <v>4.2877999999999998</v>
      </c>
      <c r="E11" s="130">
        <v>2.9556</v>
      </c>
      <c r="F11" s="2"/>
    </row>
    <row r="12" spans="1:6" x14ac:dyDescent="0.2">
      <c r="A12" s="2"/>
      <c r="B12" s="4">
        <v>46082</v>
      </c>
      <c r="C12" s="57">
        <v>542</v>
      </c>
      <c r="D12" s="5">
        <v>2.8079000000000001</v>
      </c>
      <c r="E12" s="5">
        <v>2.1432000000000002</v>
      </c>
      <c r="F12" s="2"/>
    </row>
    <row r="13" spans="1:6" x14ac:dyDescent="0.2">
      <c r="A13" s="2"/>
      <c r="B13" s="4">
        <v>46054</v>
      </c>
      <c r="C13" s="57">
        <v>552.96</v>
      </c>
      <c r="D13" s="5">
        <v>2.5924999999999998</v>
      </c>
      <c r="E13" s="5">
        <v>2.0459000000000001</v>
      </c>
      <c r="F13" s="2"/>
    </row>
    <row r="14" spans="1:6" x14ac:dyDescent="0.2">
      <c r="A14" s="2"/>
      <c r="B14" s="4">
        <v>46023</v>
      </c>
      <c r="C14" s="57">
        <v>549.74</v>
      </c>
      <c r="D14" s="5">
        <v>2.5710999999999999</v>
      </c>
      <c r="E14" s="5">
        <v>2.1013999999999999</v>
      </c>
      <c r="F14" s="2"/>
    </row>
    <row r="15" spans="1:6" x14ac:dyDescent="0.2">
      <c r="A15" s="2"/>
      <c r="B15" s="4">
        <v>45992</v>
      </c>
      <c r="C15" s="57">
        <v>565.21</v>
      </c>
      <c r="D15" s="5">
        <v>2.8332000000000002</v>
      </c>
      <c r="E15" s="5">
        <v>2.2503000000000002</v>
      </c>
      <c r="F15" s="2"/>
    </row>
    <row r="16" spans="1:6" x14ac:dyDescent="0.2">
      <c r="A16" s="2"/>
      <c r="B16" s="4">
        <v>45962</v>
      </c>
      <c r="C16" s="57">
        <v>570.61</v>
      </c>
      <c r="D16" s="5">
        <v>2.6545000000000001</v>
      </c>
      <c r="E16" s="5">
        <v>2.2052999999999998</v>
      </c>
      <c r="F16" s="2"/>
    </row>
    <row r="17" spans="1:6" x14ac:dyDescent="0.2">
      <c r="A17" s="2"/>
      <c r="B17" s="4">
        <v>45931</v>
      </c>
      <c r="C17" s="57">
        <v>578.4</v>
      </c>
      <c r="D17" s="5">
        <v>2.7303000000000002</v>
      </c>
      <c r="E17" s="5">
        <v>2.34</v>
      </c>
      <c r="F17" s="2"/>
    </row>
    <row r="18" spans="1:6" x14ac:dyDescent="0.2">
      <c r="A18" s="2"/>
      <c r="B18" s="4">
        <v>45901</v>
      </c>
      <c r="C18" s="57">
        <v>576.55999999999995</v>
      </c>
      <c r="D18" s="5">
        <v>2.6827999999999999</v>
      </c>
      <c r="E18" s="5">
        <v>2.3391000000000002</v>
      </c>
      <c r="F18" s="2"/>
    </row>
    <row r="19" spans="1:6" x14ac:dyDescent="0.2">
      <c r="A19" s="2"/>
      <c r="B19" s="4">
        <v>45870</v>
      </c>
      <c r="C19" s="57">
        <v>578.55999999999995</v>
      </c>
      <c r="D19" s="5">
        <v>2.8233999999999999</v>
      </c>
      <c r="E19" s="5">
        <v>2.3222</v>
      </c>
      <c r="F19" s="2"/>
    </row>
    <row r="20" spans="1:6" x14ac:dyDescent="0.2">
      <c r="A20" s="2"/>
      <c r="B20" s="4">
        <v>45839</v>
      </c>
      <c r="C20" s="57">
        <v>587.75</v>
      </c>
      <c r="D20" s="5">
        <v>2.6627999999999998</v>
      </c>
      <c r="E20" s="5">
        <v>2.3357999999999999</v>
      </c>
      <c r="F20" s="2"/>
    </row>
    <row r="21" spans="1:6" x14ac:dyDescent="0.2">
      <c r="A21" s="2"/>
      <c r="B21" s="4">
        <v>45809</v>
      </c>
      <c r="C21" s="57">
        <v>576.13</v>
      </c>
      <c r="D21" s="5">
        <v>2.4808785172413801</v>
      </c>
      <c r="E21" s="5">
        <v>2.30154110344828</v>
      </c>
      <c r="F21" s="2"/>
    </row>
    <row r="22" spans="1:6" x14ac:dyDescent="0.2">
      <c r="A22" s="2"/>
      <c r="B22" s="4">
        <v>45778</v>
      </c>
      <c r="C22" s="57">
        <v>571.84</v>
      </c>
      <c r="D22" s="5">
        <v>2.5161838333333302</v>
      </c>
      <c r="E22" s="5">
        <v>2.2991338333333302</v>
      </c>
      <c r="F22" s="2"/>
    </row>
    <row r="23" spans="1:6" x14ac:dyDescent="0.2">
      <c r="A23" s="2"/>
      <c r="B23" s="4">
        <v>45748</v>
      </c>
      <c r="C23" s="57">
        <v>595</v>
      </c>
      <c r="D23" s="5">
        <v>2.6285863870967701</v>
      </c>
      <c r="E23" s="5">
        <v>2.3031012258064498</v>
      </c>
      <c r="F23" s="2"/>
    </row>
    <row r="24" spans="1:6" x14ac:dyDescent="0.2">
      <c r="A24" s="2"/>
      <c r="B24" s="4">
        <v>45717</v>
      </c>
      <c r="C24" s="57">
        <v>588.28</v>
      </c>
      <c r="D24" s="5">
        <v>2.8342991111111102</v>
      </c>
      <c r="E24" s="5">
        <v>2.3410000000000002</v>
      </c>
      <c r="F24" s="2"/>
    </row>
    <row r="25" spans="1:6" x14ac:dyDescent="0.2">
      <c r="A25" s="2"/>
      <c r="B25" s="4">
        <v>45689</v>
      </c>
      <c r="C25" s="57">
        <v>581.41999999999996</v>
      </c>
      <c r="D25" s="5">
        <v>2.83312106451613</v>
      </c>
      <c r="E25" s="5">
        <v>2.3717205806451598</v>
      </c>
      <c r="F25" s="2"/>
    </row>
    <row r="26" spans="1:6" x14ac:dyDescent="0.2">
      <c r="A26" s="2"/>
      <c r="B26" s="4">
        <v>45658</v>
      </c>
      <c r="C26" s="57">
        <v>583.36</v>
      </c>
      <c r="D26" s="5">
        <v>2.5889000000000002</v>
      </c>
      <c r="E26" s="5">
        <v>2.2722224999999998</v>
      </c>
      <c r="F26" s="2"/>
    </row>
    <row r="27" spans="1:6" x14ac:dyDescent="0.2">
      <c r="B27" s="58"/>
      <c r="C27" s="58"/>
      <c r="D27" s="58"/>
      <c r="E27" s="58"/>
    </row>
    <row r="28" spans="1:6" x14ac:dyDescent="0.2">
      <c r="D28" s="68"/>
    </row>
  </sheetData>
  <sheetProtection algorithmName="SHA-512" hashValue="PbbMVAeSlp/rJfkGaMNBZChDF4+wtrRDNbbHQPz14QK9igFjabekAfQbZqbcSnaXeNnidcDvQDhvIB8g7clDXA==" saltValue="7qY6YC+1E/4boiQ5hfFpGw==" spinCount="100000" sheet="1" objects="1" scenarios="1"/>
  <sortState xmlns:xlrd2="http://schemas.microsoft.com/office/spreadsheetml/2017/richdata2" ref="B40:E361">
    <sortCondition descending="1" ref="B40:B361"/>
  </sortState>
  <mergeCells count="1">
    <mergeCell ref="B2:E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110"/>
  <sheetViews>
    <sheetView topLeftCell="A4" zoomScale="130" zoomScaleNormal="130" workbookViewId="0">
      <selection activeCell="F21" sqref="F21"/>
    </sheetView>
  </sheetViews>
  <sheetFormatPr defaultRowHeight="12.75" x14ac:dyDescent="0.2"/>
  <cols>
    <col min="3" max="4" width="9.7109375" customWidth="1"/>
    <col min="5" max="7" width="11.7109375" customWidth="1"/>
  </cols>
  <sheetData>
    <row r="1" spans="1:9" x14ac:dyDescent="0.2">
      <c r="A1" s="8"/>
      <c r="B1" s="9"/>
      <c r="C1" s="9"/>
      <c r="D1" s="9"/>
      <c r="E1" s="9"/>
      <c r="F1" s="9"/>
      <c r="G1" s="9"/>
      <c r="H1" s="8"/>
      <c r="I1" s="8"/>
    </row>
    <row r="2" spans="1:9" ht="13.5" thickBot="1" x14ac:dyDescent="0.25">
      <c r="A2" s="8"/>
      <c r="B2" s="9"/>
      <c r="C2" s="9"/>
      <c r="D2" s="9"/>
      <c r="E2" s="9"/>
      <c r="F2" s="9"/>
      <c r="G2" s="9"/>
      <c r="H2" s="8"/>
      <c r="I2" s="8"/>
    </row>
    <row r="3" spans="1:9" ht="15.75" x14ac:dyDescent="0.25">
      <c r="A3" s="8"/>
      <c r="B3" s="162" t="s">
        <v>36</v>
      </c>
      <c r="C3" s="163"/>
      <c r="D3" s="163"/>
      <c r="E3" s="163"/>
      <c r="F3" s="163"/>
      <c r="G3" s="164"/>
      <c r="H3" s="8"/>
      <c r="I3" s="8"/>
    </row>
    <row r="4" spans="1:9" x14ac:dyDescent="0.2">
      <c r="A4" s="8"/>
      <c r="B4" s="10"/>
      <c r="C4" s="2"/>
      <c r="D4" s="2"/>
      <c r="E4" s="2"/>
      <c r="F4" s="2"/>
      <c r="G4" s="11"/>
      <c r="H4" s="8"/>
      <c r="I4" s="8"/>
    </row>
    <row r="5" spans="1:9" x14ac:dyDescent="0.2">
      <c r="A5" s="8"/>
      <c r="B5" s="10"/>
      <c r="C5" s="165" t="s">
        <v>37</v>
      </c>
      <c r="D5" s="166"/>
      <c r="E5" s="12">
        <f>DieselBase</f>
        <v>5.2784000000000004</v>
      </c>
      <c r="F5" s="2"/>
      <c r="G5" s="11"/>
      <c r="H5" s="8"/>
      <c r="I5" s="8"/>
    </row>
    <row r="6" spans="1:9" x14ac:dyDescent="0.2">
      <c r="A6" s="8"/>
      <c r="B6" s="10"/>
      <c r="C6" s="167" t="s">
        <v>38</v>
      </c>
      <c r="D6" s="168"/>
      <c r="E6" s="13">
        <f>DieselCurrent</f>
        <v>5.2784000000000004</v>
      </c>
      <c r="F6" s="2"/>
      <c r="G6" s="11"/>
      <c r="H6" s="8"/>
      <c r="I6" s="8"/>
    </row>
    <row r="7" spans="1:9" x14ac:dyDescent="0.2">
      <c r="A7" s="8"/>
      <c r="B7" s="10"/>
      <c r="C7" s="169" t="s">
        <v>39</v>
      </c>
      <c r="D7" s="170"/>
      <c r="E7" s="14">
        <f>VLOOKUP(E6,E12:G51,3)</f>
        <v>0</v>
      </c>
      <c r="F7" s="2"/>
      <c r="G7" s="11"/>
      <c r="H7" s="8"/>
      <c r="I7" s="8"/>
    </row>
    <row r="8" spans="1:9" x14ac:dyDescent="0.2">
      <c r="A8" s="8"/>
      <c r="B8" s="10"/>
      <c r="C8" s="2"/>
      <c r="D8" s="2"/>
      <c r="E8" s="2"/>
      <c r="F8" s="2"/>
      <c r="G8" s="11"/>
      <c r="H8" s="8"/>
      <c r="I8" s="8"/>
    </row>
    <row r="9" spans="1:9" x14ac:dyDescent="0.2">
      <c r="A9" s="8"/>
      <c r="B9" s="10"/>
      <c r="C9" s="2"/>
      <c r="D9" s="2"/>
      <c r="E9" s="2"/>
      <c r="F9" s="2"/>
      <c r="G9" s="11"/>
      <c r="H9" s="8"/>
      <c r="I9" s="8"/>
    </row>
    <row r="10" spans="1:9" x14ac:dyDescent="0.2">
      <c r="A10" s="8"/>
      <c r="B10" s="10"/>
      <c r="C10" s="2"/>
      <c r="D10" s="2"/>
      <c r="E10" s="2"/>
      <c r="F10" s="2"/>
      <c r="G10" s="11"/>
      <c r="H10" s="8"/>
      <c r="I10" s="8"/>
    </row>
    <row r="11" spans="1:9" ht="13.5" thickBot="1" x14ac:dyDescent="0.25">
      <c r="A11" s="8"/>
      <c r="B11" s="10"/>
      <c r="C11" s="2"/>
      <c r="D11" s="2"/>
      <c r="E11" s="2"/>
      <c r="F11" s="2"/>
      <c r="G11" s="11"/>
      <c r="H11" s="8"/>
      <c r="I11" s="8"/>
    </row>
    <row r="12" spans="1:9" x14ac:dyDescent="0.2">
      <c r="A12" s="8"/>
      <c r="B12" s="171" t="s">
        <v>40</v>
      </c>
      <c r="C12" s="46">
        <v>90</v>
      </c>
      <c r="D12" s="15">
        <v>100</v>
      </c>
      <c r="E12" s="35">
        <f>0*DieselBase</f>
        <v>0</v>
      </c>
      <c r="F12" s="16">
        <f>0.1*DieselBase-0.0001</f>
        <v>0.5277400000000001</v>
      </c>
      <c r="G12" s="17">
        <f>-0.9*DieselBase</f>
        <v>-4.7505600000000001</v>
      </c>
      <c r="H12" s="8"/>
      <c r="I12" s="8"/>
    </row>
    <row r="13" spans="1:9" x14ac:dyDescent="0.2">
      <c r="A13" s="8"/>
      <c r="B13" s="172"/>
      <c r="C13" s="47">
        <v>80</v>
      </c>
      <c r="D13" s="18">
        <v>90</v>
      </c>
      <c r="E13" s="37">
        <f>0.1*DieselBase</f>
        <v>0.52784000000000009</v>
      </c>
      <c r="F13" s="19">
        <f>0.2*DieselBase-0.0001</f>
        <v>1.0555800000000002</v>
      </c>
      <c r="G13" s="20">
        <f>-0.8*DieselBase</f>
        <v>-4.2227200000000007</v>
      </c>
      <c r="H13" s="8"/>
      <c r="I13" s="8"/>
    </row>
    <row r="14" spans="1:9" x14ac:dyDescent="0.2">
      <c r="A14" s="8"/>
      <c r="B14" s="172"/>
      <c r="C14" s="47">
        <v>70</v>
      </c>
      <c r="D14" s="18">
        <v>80</v>
      </c>
      <c r="E14" s="37">
        <f>0.2*DieselBase</f>
        <v>1.0556800000000002</v>
      </c>
      <c r="F14" s="19">
        <f>0.3*DieselBase-0.0001</f>
        <v>1.58342</v>
      </c>
      <c r="G14" s="20">
        <f>-0.7*DieselBase</f>
        <v>-3.6948799999999999</v>
      </c>
      <c r="H14" s="8"/>
      <c r="I14" s="8" t="s">
        <v>79</v>
      </c>
    </row>
    <row r="15" spans="1:9" x14ac:dyDescent="0.2">
      <c r="A15" s="8"/>
      <c r="B15" s="172"/>
      <c r="C15" s="47">
        <v>60</v>
      </c>
      <c r="D15" s="18">
        <v>70</v>
      </c>
      <c r="E15" s="37">
        <f>0.3*DieselBase</f>
        <v>1.58352</v>
      </c>
      <c r="F15" s="19">
        <f>0.4*DieselBase-0.0001</f>
        <v>2.1112600000000001</v>
      </c>
      <c r="G15" s="20">
        <f>-0.6*DieselBase</f>
        <v>-3.1670400000000001</v>
      </c>
      <c r="H15" s="8"/>
      <c r="I15" s="8"/>
    </row>
    <row r="16" spans="1:9" x14ac:dyDescent="0.2">
      <c r="A16" s="8"/>
      <c r="B16" s="172"/>
      <c r="C16" s="47">
        <v>50</v>
      </c>
      <c r="D16" s="18">
        <v>60</v>
      </c>
      <c r="E16" s="37">
        <f>0.4*DieselBase</f>
        <v>2.1113600000000003</v>
      </c>
      <c r="F16" s="19">
        <f>0.5*DieselBase-0.0001</f>
        <v>2.6391</v>
      </c>
      <c r="G16" s="20">
        <f>-0.5*DieselBase</f>
        <v>-2.6392000000000002</v>
      </c>
      <c r="H16" s="8"/>
      <c r="I16" s="8"/>
    </row>
    <row r="17" spans="1:9" x14ac:dyDescent="0.2">
      <c r="A17" s="8"/>
      <c r="B17" s="172"/>
      <c r="C17" s="47">
        <v>40</v>
      </c>
      <c r="D17" s="18">
        <v>50</v>
      </c>
      <c r="E17" s="37">
        <f>0.5*DieselBase</f>
        <v>2.6392000000000002</v>
      </c>
      <c r="F17" s="19">
        <f>0.6*DieselBase-0.0001</f>
        <v>3.1669399999999999</v>
      </c>
      <c r="G17" s="20">
        <f>-0.4*DieselBase</f>
        <v>-2.1113600000000003</v>
      </c>
      <c r="H17" s="8"/>
      <c r="I17" s="8"/>
    </row>
    <row r="18" spans="1:9" x14ac:dyDescent="0.2">
      <c r="A18" s="8"/>
      <c r="B18" s="172"/>
      <c r="C18" s="47">
        <v>30</v>
      </c>
      <c r="D18" s="18">
        <v>40</v>
      </c>
      <c r="E18" s="37">
        <f>0.6*DieselBase</f>
        <v>3.1670400000000001</v>
      </c>
      <c r="F18" s="19">
        <f>0.7*DieselBase-0.0001</f>
        <v>3.6947799999999997</v>
      </c>
      <c r="G18" s="20">
        <f>-0.3*DieselBase</f>
        <v>-1.58352</v>
      </c>
      <c r="H18" s="8"/>
      <c r="I18" s="8"/>
    </row>
    <row r="19" spans="1:9" x14ac:dyDescent="0.2">
      <c r="A19" s="8"/>
      <c r="B19" s="172"/>
      <c r="C19" s="47">
        <v>20</v>
      </c>
      <c r="D19" s="18">
        <v>30</v>
      </c>
      <c r="E19" s="37">
        <f>0.7*DieselBase</f>
        <v>3.6948799999999999</v>
      </c>
      <c r="F19" s="19">
        <f>0.8*DieselBase-0.0001</f>
        <v>4.2226200000000009</v>
      </c>
      <c r="G19" s="20">
        <f>-0.2*DieselBase</f>
        <v>-1.0556800000000002</v>
      </c>
      <c r="H19" s="8"/>
      <c r="I19" s="8"/>
    </row>
    <row r="20" spans="1:9" x14ac:dyDescent="0.2">
      <c r="A20" s="8"/>
      <c r="B20" s="172"/>
      <c r="C20" s="47">
        <v>10</v>
      </c>
      <c r="D20" s="18">
        <v>20</v>
      </c>
      <c r="E20" s="37">
        <f>0.8*DieselBase</f>
        <v>4.2227200000000007</v>
      </c>
      <c r="F20" s="19">
        <f>0.9*DieselBase-0.0001</f>
        <v>4.7504600000000003</v>
      </c>
      <c r="G20" s="20">
        <f>-0.1*DieselBase</f>
        <v>-0.52784000000000009</v>
      </c>
      <c r="H20" s="8"/>
      <c r="I20" s="8"/>
    </row>
    <row r="21" spans="1:9" x14ac:dyDescent="0.2">
      <c r="A21" s="8"/>
      <c r="B21" s="176"/>
      <c r="C21" s="48">
        <v>0</v>
      </c>
      <c r="D21" s="38">
        <v>10</v>
      </c>
      <c r="E21" s="39">
        <f>0.9*DieselBase</f>
        <v>4.7505600000000001</v>
      </c>
      <c r="F21" s="40">
        <f>1*DieselBase-0.0001</f>
        <v>5.2783000000000007</v>
      </c>
      <c r="G21" s="41">
        <f>0*DieselBase</f>
        <v>0</v>
      </c>
      <c r="H21" s="8"/>
      <c r="I21" s="8"/>
    </row>
    <row r="22" spans="1:9" x14ac:dyDescent="0.2">
      <c r="A22" s="8"/>
      <c r="B22" s="177" t="s">
        <v>41</v>
      </c>
      <c r="C22" s="49">
        <v>0</v>
      </c>
      <c r="D22" s="42">
        <v>10</v>
      </c>
      <c r="E22" s="43">
        <f>1*DieselBase</f>
        <v>5.2784000000000004</v>
      </c>
      <c r="F22" s="44">
        <f>1.1*DieselBase</f>
        <v>5.8062400000000007</v>
      </c>
      <c r="G22" s="45">
        <f>0*DieselBase</f>
        <v>0</v>
      </c>
      <c r="H22" s="8"/>
      <c r="I22" s="8"/>
    </row>
    <row r="23" spans="1:9" x14ac:dyDescent="0.2">
      <c r="A23" s="8"/>
      <c r="B23" s="172"/>
      <c r="C23" s="47">
        <v>10</v>
      </c>
      <c r="D23" s="18">
        <v>20</v>
      </c>
      <c r="E23" s="36">
        <f>1.1*DieselBase+0.0001</f>
        <v>5.8063400000000005</v>
      </c>
      <c r="F23" s="19">
        <f>1.2*DieselBase</f>
        <v>6.3340800000000002</v>
      </c>
      <c r="G23" s="20">
        <f>0.1*DieselBase</f>
        <v>0.52784000000000009</v>
      </c>
      <c r="H23" s="8"/>
      <c r="I23" s="8"/>
    </row>
    <row r="24" spans="1:9" x14ac:dyDescent="0.2">
      <c r="A24" s="8"/>
      <c r="B24" s="172"/>
      <c r="C24" s="47">
        <v>20</v>
      </c>
      <c r="D24" s="18">
        <v>30</v>
      </c>
      <c r="E24" s="36">
        <f>1.2*DieselBase+0.0001</f>
        <v>6.3341799999999999</v>
      </c>
      <c r="F24" s="19">
        <f>1.3*DieselBase</f>
        <v>6.8619200000000005</v>
      </c>
      <c r="G24" s="20">
        <f>0.2*DieselBase</f>
        <v>1.0556800000000002</v>
      </c>
      <c r="H24" s="8"/>
      <c r="I24" s="8"/>
    </row>
    <row r="25" spans="1:9" x14ac:dyDescent="0.2">
      <c r="A25" s="8"/>
      <c r="B25" s="172"/>
      <c r="C25" s="47">
        <v>30</v>
      </c>
      <c r="D25" s="18">
        <v>40</v>
      </c>
      <c r="E25" s="36">
        <f>1.3*DieselBase+0.0001</f>
        <v>6.8620200000000002</v>
      </c>
      <c r="F25" s="19">
        <f>1.4*DieselBase</f>
        <v>7.3897599999999999</v>
      </c>
      <c r="G25" s="20">
        <f>0.3*DieselBase</f>
        <v>1.58352</v>
      </c>
      <c r="H25" s="8"/>
      <c r="I25" s="8"/>
    </row>
    <row r="26" spans="1:9" x14ac:dyDescent="0.2">
      <c r="A26" s="8"/>
      <c r="B26" s="172"/>
      <c r="C26" s="47">
        <v>40</v>
      </c>
      <c r="D26" s="18">
        <v>50</v>
      </c>
      <c r="E26" s="36">
        <f>1.4*DieselBase+0.0001</f>
        <v>7.3898599999999997</v>
      </c>
      <c r="F26" s="19">
        <f>1.5*DieselBase</f>
        <v>7.9176000000000002</v>
      </c>
      <c r="G26" s="20">
        <f>0.4*DieselBase</f>
        <v>2.1113600000000003</v>
      </c>
      <c r="H26" s="8"/>
      <c r="I26" s="8"/>
    </row>
    <row r="27" spans="1:9" x14ac:dyDescent="0.2">
      <c r="A27" s="8"/>
      <c r="B27" s="172"/>
      <c r="C27" s="47">
        <v>50</v>
      </c>
      <c r="D27" s="18">
        <v>60</v>
      </c>
      <c r="E27" s="36">
        <f>1.5*DieselBase+0.0001</f>
        <v>7.9177</v>
      </c>
      <c r="F27" s="19">
        <f>1.6*DieselBase</f>
        <v>8.4454400000000014</v>
      </c>
      <c r="G27" s="20">
        <f>0.5*DieselBase</f>
        <v>2.6392000000000002</v>
      </c>
      <c r="H27" s="8"/>
      <c r="I27" s="8"/>
    </row>
    <row r="28" spans="1:9" x14ac:dyDescent="0.2">
      <c r="A28" s="8"/>
      <c r="B28" s="172"/>
      <c r="C28" s="47">
        <v>60</v>
      </c>
      <c r="D28" s="18">
        <v>70</v>
      </c>
      <c r="E28" s="36">
        <f>1.6*DieselBase+0.0001</f>
        <v>8.4455400000000012</v>
      </c>
      <c r="F28" s="19">
        <f>1.7*DieselBase</f>
        <v>8.9732800000000008</v>
      </c>
      <c r="G28" s="20">
        <f>0.6*DieselBase</f>
        <v>3.1670400000000001</v>
      </c>
      <c r="H28" s="8"/>
      <c r="I28" s="8"/>
    </row>
    <row r="29" spans="1:9" x14ac:dyDescent="0.2">
      <c r="A29" s="8"/>
      <c r="B29" s="172"/>
      <c r="C29" s="47">
        <v>70</v>
      </c>
      <c r="D29" s="18">
        <v>80</v>
      </c>
      <c r="E29" s="36">
        <f>1.7*DieselBase+0.0001</f>
        <v>8.9733800000000006</v>
      </c>
      <c r="F29" s="19">
        <f>1.8*DieselBase</f>
        <v>9.5011200000000002</v>
      </c>
      <c r="G29" s="20">
        <f>0.7*DieselBase</f>
        <v>3.6948799999999999</v>
      </c>
      <c r="H29" s="8"/>
      <c r="I29" s="8"/>
    </row>
    <row r="30" spans="1:9" x14ac:dyDescent="0.2">
      <c r="A30" s="8"/>
      <c r="B30" s="172"/>
      <c r="C30" s="47">
        <v>80</v>
      </c>
      <c r="D30" s="18">
        <v>90</v>
      </c>
      <c r="E30" s="36">
        <f>1.8*DieselBase+0.0001</f>
        <v>9.50122</v>
      </c>
      <c r="F30" s="19">
        <f>1.9*DieselBase</f>
        <v>10.02896</v>
      </c>
      <c r="G30" s="20">
        <f>0.8*DieselBase</f>
        <v>4.2227200000000007</v>
      </c>
      <c r="H30" s="8"/>
      <c r="I30" s="8"/>
    </row>
    <row r="31" spans="1:9" x14ac:dyDescent="0.2">
      <c r="A31" s="8"/>
      <c r="B31" s="172"/>
      <c r="C31" s="47">
        <v>90</v>
      </c>
      <c r="D31" s="18">
        <v>100</v>
      </c>
      <c r="E31" s="36">
        <f>1.9*DieselBase+0.0001</f>
        <v>10.029059999999999</v>
      </c>
      <c r="F31" s="19">
        <f>2*DieselBase</f>
        <v>10.556800000000001</v>
      </c>
      <c r="G31" s="20">
        <f>0.9*DieselBase</f>
        <v>4.7505600000000001</v>
      </c>
      <c r="H31" s="8"/>
      <c r="I31" s="8"/>
    </row>
    <row r="32" spans="1:9" x14ac:dyDescent="0.2">
      <c r="A32" s="8"/>
      <c r="B32" s="172"/>
      <c r="C32" s="47">
        <v>100</v>
      </c>
      <c r="D32" s="18">
        <v>110</v>
      </c>
      <c r="E32" s="36">
        <f>2*DieselBase+0.0001</f>
        <v>10.556900000000001</v>
      </c>
      <c r="F32" s="19">
        <f>2.1*DieselBase</f>
        <v>11.084640000000002</v>
      </c>
      <c r="G32" s="20">
        <f>1*DieselBase</f>
        <v>5.2784000000000004</v>
      </c>
      <c r="H32" s="8"/>
      <c r="I32" s="8"/>
    </row>
    <row r="33" spans="1:9" x14ac:dyDescent="0.2">
      <c r="A33" s="8"/>
      <c r="B33" s="172"/>
      <c r="C33" s="47">
        <v>110</v>
      </c>
      <c r="D33" s="18">
        <v>120</v>
      </c>
      <c r="E33" s="36">
        <f>2.1*DieselBase+0.0001</f>
        <v>11.084740000000002</v>
      </c>
      <c r="F33" s="19">
        <f>2.2*DieselBase</f>
        <v>11.612480000000001</v>
      </c>
      <c r="G33" s="20">
        <f>1.1*DieselBase</f>
        <v>5.8062400000000007</v>
      </c>
      <c r="H33" s="8"/>
      <c r="I33" s="8"/>
    </row>
    <row r="34" spans="1:9" x14ac:dyDescent="0.2">
      <c r="A34" s="8"/>
      <c r="B34" s="172"/>
      <c r="C34" s="47">
        <v>120</v>
      </c>
      <c r="D34" s="18">
        <v>130</v>
      </c>
      <c r="E34" s="36">
        <f>2.2*DieselBase+0.0001</f>
        <v>11.612580000000001</v>
      </c>
      <c r="F34" s="19">
        <f>2.3*DieselBase</f>
        <v>12.140320000000001</v>
      </c>
      <c r="G34" s="20">
        <f>1.2*DieselBase</f>
        <v>6.3340800000000002</v>
      </c>
      <c r="H34" s="8"/>
      <c r="I34" s="8"/>
    </row>
    <row r="35" spans="1:9" x14ac:dyDescent="0.2">
      <c r="A35" s="8"/>
      <c r="B35" s="172"/>
      <c r="C35" s="47">
        <v>130</v>
      </c>
      <c r="D35" s="18">
        <v>140</v>
      </c>
      <c r="E35" s="36">
        <f>2.3*DieselBase+0.0001</f>
        <v>12.140420000000001</v>
      </c>
      <c r="F35" s="19">
        <f>2.4*DieselBase</f>
        <v>12.66816</v>
      </c>
      <c r="G35" s="20">
        <f>1.3*DieselBase</f>
        <v>6.8619200000000005</v>
      </c>
      <c r="H35" s="8"/>
      <c r="I35" s="8"/>
    </row>
    <row r="36" spans="1:9" x14ac:dyDescent="0.2">
      <c r="A36" s="8"/>
      <c r="B36" s="172"/>
      <c r="C36" s="47">
        <v>140</v>
      </c>
      <c r="D36" s="18">
        <v>150</v>
      </c>
      <c r="E36" s="36">
        <f>2.4*DieselBase+0.0001</f>
        <v>12.66826</v>
      </c>
      <c r="F36" s="19">
        <f>2.5*DieselBase</f>
        <v>13.196000000000002</v>
      </c>
      <c r="G36" s="20">
        <f>1.4*DieselBase</f>
        <v>7.3897599999999999</v>
      </c>
      <c r="H36" s="8"/>
      <c r="I36" s="8"/>
    </row>
    <row r="37" spans="1:9" x14ac:dyDescent="0.2">
      <c r="A37" s="8"/>
      <c r="B37" s="172"/>
      <c r="C37" s="47">
        <v>150</v>
      </c>
      <c r="D37" s="18">
        <v>160</v>
      </c>
      <c r="E37" s="36">
        <f>2.5*DieselBase+0.0001</f>
        <v>13.196100000000001</v>
      </c>
      <c r="F37" s="19">
        <f>2.6*DieselBase</f>
        <v>13.723840000000001</v>
      </c>
      <c r="G37" s="20">
        <f>1.5*DieselBase</f>
        <v>7.9176000000000002</v>
      </c>
      <c r="H37" s="8"/>
      <c r="I37" s="8"/>
    </row>
    <row r="38" spans="1:9" x14ac:dyDescent="0.2">
      <c r="A38" s="8"/>
      <c r="B38" s="172"/>
      <c r="C38" s="47">
        <v>160</v>
      </c>
      <c r="D38" s="18">
        <v>170</v>
      </c>
      <c r="E38" s="36">
        <f>2.6*DieselBase+0.0001</f>
        <v>13.723940000000001</v>
      </c>
      <c r="F38" s="19">
        <f>2.7*DieselBase</f>
        <v>14.251680000000002</v>
      </c>
      <c r="G38" s="20">
        <f>1.6*DieselBase</f>
        <v>8.4454400000000014</v>
      </c>
      <c r="H38" s="8"/>
      <c r="I38" s="8"/>
    </row>
    <row r="39" spans="1:9" x14ac:dyDescent="0.2">
      <c r="A39" s="8"/>
      <c r="B39" s="172"/>
      <c r="C39" s="47">
        <v>170</v>
      </c>
      <c r="D39" s="18">
        <v>180</v>
      </c>
      <c r="E39" s="36">
        <f>2.7*DieselBase+0.0001</f>
        <v>14.251780000000002</v>
      </c>
      <c r="F39" s="19">
        <f>2.8*DieselBase</f>
        <v>14.77952</v>
      </c>
      <c r="G39" s="20">
        <f>1.7*DieselBase</f>
        <v>8.9732800000000008</v>
      </c>
      <c r="H39" s="8"/>
      <c r="I39" s="8"/>
    </row>
    <row r="40" spans="1:9" x14ac:dyDescent="0.2">
      <c r="A40" s="8"/>
      <c r="B40" s="172"/>
      <c r="C40" s="47">
        <v>180</v>
      </c>
      <c r="D40" s="18">
        <v>190</v>
      </c>
      <c r="E40" s="36">
        <f>2.8*DieselBase+0.0001</f>
        <v>14.77962</v>
      </c>
      <c r="F40" s="19">
        <f>2.9*DieselBase</f>
        <v>15.307360000000001</v>
      </c>
      <c r="G40" s="20">
        <f>1.8*DieselBase</f>
        <v>9.5011200000000002</v>
      </c>
      <c r="H40" s="8"/>
      <c r="I40" s="8"/>
    </row>
    <row r="41" spans="1:9" x14ac:dyDescent="0.2">
      <c r="A41" s="8"/>
      <c r="B41" s="172"/>
      <c r="C41" s="47">
        <v>190</v>
      </c>
      <c r="D41" s="18">
        <v>200</v>
      </c>
      <c r="E41" s="36">
        <f>2.9*DieselBase+0.0001</f>
        <v>15.307460000000001</v>
      </c>
      <c r="F41" s="19">
        <f>3*DieselBase</f>
        <v>15.8352</v>
      </c>
      <c r="G41" s="20">
        <f>1.9*DieselBase</f>
        <v>10.02896</v>
      </c>
      <c r="H41" s="8"/>
      <c r="I41" s="8"/>
    </row>
    <row r="42" spans="1:9" x14ac:dyDescent="0.2">
      <c r="A42" s="8"/>
      <c r="B42" s="172"/>
      <c r="C42" s="47">
        <v>200</v>
      </c>
      <c r="D42" s="18">
        <v>210</v>
      </c>
      <c r="E42" s="36">
        <f>3*DieselBase+0.0001</f>
        <v>15.8353</v>
      </c>
      <c r="F42" s="19">
        <f>3.1*DieselBase</f>
        <v>16.363040000000002</v>
      </c>
      <c r="G42" s="20">
        <f>2*DieselBase</f>
        <v>10.556800000000001</v>
      </c>
      <c r="H42" s="8"/>
      <c r="I42" s="8"/>
    </row>
    <row r="43" spans="1:9" x14ac:dyDescent="0.2">
      <c r="A43" s="8"/>
      <c r="B43" s="172"/>
      <c r="C43" s="47">
        <v>210</v>
      </c>
      <c r="D43" s="18">
        <v>220</v>
      </c>
      <c r="E43" s="36">
        <f>3.1*DieselBase+0.0001</f>
        <v>16.363140000000001</v>
      </c>
      <c r="F43" s="19">
        <f>3.2*DieselBase</f>
        <v>16.890880000000003</v>
      </c>
      <c r="G43" s="20">
        <f>2.1*DieselBase</f>
        <v>11.084640000000002</v>
      </c>
      <c r="H43" s="8"/>
      <c r="I43" s="8"/>
    </row>
    <row r="44" spans="1:9" x14ac:dyDescent="0.2">
      <c r="A44" s="8"/>
      <c r="B44" s="172"/>
      <c r="C44" s="47">
        <v>220</v>
      </c>
      <c r="D44" s="18">
        <v>230</v>
      </c>
      <c r="E44" s="36">
        <f>3.2*DieselBase+0.0001</f>
        <v>16.890980000000003</v>
      </c>
      <c r="F44" s="19">
        <f>3.3*DieselBase</f>
        <v>17.41872</v>
      </c>
      <c r="G44" s="20">
        <f>2.2*DieselBase</f>
        <v>11.612480000000001</v>
      </c>
      <c r="H44" s="8"/>
      <c r="I44" s="8"/>
    </row>
    <row r="45" spans="1:9" x14ac:dyDescent="0.2">
      <c r="A45" s="8"/>
      <c r="B45" s="172"/>
      <c r="C45" s="47">
        <v>230</v>
      </c>
      <c r="D45" s="18">
        <v>240</v>
      </c>
      <c r="E45" s="36">
        <f>3.3*DieselBase+0.0001</f>
        <v>17.41882</v>
      </c>
      <c r="F45" s="19">
        <f>3.4*DieselBase</f>
        <v>17.946560000000002</v>
      </c>
      <c r="G45" s="20">
        <f>2.3*DieselBase</f>
        <v>12.140320000000001</v>
      </c>
      <c r="H45" s="8"/>
      <c r="I45" s="8"/>
    </row>
    <row r="46" spans="1:9" x14ac:dyDescent="0.2">
      <c r="A46" s="8"/>
      <c r="B46" s="172"/>
      <c r="C46" s="47">
        <v>240</v>
      </c>
      <c r="D46" s="18">
        <v>250</v>
      </c>
      <c r="E46" s="36">
        <f>3.4*DieselBase+0.0001</f>
        <v>17.946660000000001</v>
      </c>
      <c r="F46" s="19">
        <f>3.5*DieselBase</f>
        <v>18.474400000000003</v>
      </c>
      <c r="G46" s="20">
        <f>2.4*DieselBase</f>
        <v>12.66816</v>
      </c>
      <c r="H46" s="8"/>
      <c r="I46" s="8"/>
    </row>
    <row r="47" spans="1:9" x14ac:dyDescent="0.2">
      <c r="A47" s="8"/>
      <c r="B47" s="172"/>
      <c r="C47" s="47">
        <v>250</v>
      </c>
      <c r="D47" s="18">
        <v>260</v>
      </c>
      <c r="E47" s="36">
        <f>3.5*DieselBase+0.0001</f>
        <v>18.474500000000003</v>
      </c>
      <c r="F47" s="19">
        <f>3.6*DieselBase</f>
        <v>19.00224</v>
      </c>
      <c r="G47" s="20">
        <f>2.5*DieselBase</f>
        <v>13.196000000000002</v>
      </c>
      <c r="H47" s="8"/>
      <c r="I47" s="8"/>
    </row>
    <row r="48" spans="1:9" x14ac:dyDescent="0.2">
      <c r="A48" s="8"/>
      <c r="B48" s="172"/>
      <c r="C48" s="47">
        <v>260</v>
      </c>
      <c r="D48" s="18">
        <v>270</v>
      </c>
      <c r="E48" s="36">
        <f>3.6*DieselBase+0.0001</f>
        <v>19.00234</v>
      </c>
      <c r="F48" s="19">
        <f>3.7*DieselBase</f>
        <v>19.530080000000002</v>
      </c>
      <c r="G48" s="20">
        <f>2.6*DieselBase</f>
        <v>13.723840000000001</v>
      </c>
      <c r="H48" s="8"/>
      <c r="I48" s="8"/>
    </row>
    <row r="49" spans="1:9" x14ac:dyDescent="0.2">
      <c r="A49" s="8"/>
      <c r="B49" s="172"/>
      <c r="C49" s="47">
        <v>270</v>
      </c>
      <c r="D49" s="18">
        <v>280</v>
      </c>
      <c r="E49" s="36">
        <f>3.7*DieselBase+0.0001</f>
        <v>19.530180000000001</v>
      </c>
      <c r="F49" s="19">
        <f>3.8*DieselBase</f>
        <v>20.057919999999999</v>
      </c>
      <c r="G49" s="20">
        <f>2.7*DieselBase</f>
        <v>14.251680000000002</v>
      </c>
      <c r="H49" s="8"/>
      <c r="I49" s="8"/>
    </row>
    <row r="50" spans="1:9" x14ac:dyDescent="0.2">
      <c r="A50" s="8"/>
      <c r="B50" s="172"/>
      <c r="C50" s="47">
        <v>280</v>
      </c>
      <c r="D50" s="18">
        <v>290</v>
      </c>
      <c r="E50" s="36">
        <f>3.8*DieselBase+0.0001</f>
        <v>20.058019999999999</v>
      </c>
      <c r="F50" s="19">
        <f>3.9*DieselBase</f>
        <v>20.585760000000001</v>
      </c>
      <c r="G50" s="20">
        <f>2.8*DieselBase</f>
        <v>14.77952</v>
      </c>
      <c r="H50" s="8"/>
      <c r="I50" s="8"/>
    </row>
    <row r="51" spans="1:9" ht="13.5" thickBot="1" x14ac:dyDescent="0.25">
      <c r="A51" s="8"/>
      <c r="B51" s="175"/>
      <c r="C51" s="50">
        <v>290</v>
      </c>
      <c r="D51" s="21">
        <v>300</v>
      </c>
      <c r="E51" s="51">
        <f>3.9*DieselBase+0.0001</f>
        <v>20.58586</v>
      </c>
      <c r="F51" s="22">
        <f>4*DieselBase</f>
        <v>21.113600000000002</v>
      </c>
      <c r="G51" s="23">
        <f>2.9*DieselBase</f>
        <v>15.307360000000001</v>
      </c>
      <c r="H51" s="8"/>
      <c r="I51" s="8"/>
    </row>
    <row r="52" spans="1:9" x14ac:dyDescent="0.2">
      <c r="A52" s="8"/>
      <c r="B52" s="24"/>
      <c r="C52" s="9"/>
      <c r="D52" s="9"/>
      <c r="E52" s="25"/>
      <c r="F52" s="25"/>
      <c r="G52" s="25"/>
      <c r="H52" s="8"/>
      <c r="I52" s="8"/>
    </row>
    <row r="53" spans="1:9" x14ac:dyDescent="0.2">
      <c r="A53" s="8"/>
      <c r="B53" s="24"/>
      <c r="C53" s="9"/>
      <c r="D53" s="9"/>
      <c r="E53" s="25"/>
      <c r="F53" s="25"/>
      <c r="G53" s="25"/>
      <c r="H53" s="8"/>
      <c r="I53" s="8"/>
    </row>
    <row r="54" spans="1:9" x14ac:dyDescent="0.2">
      <c r="A54" s="8"/>
      <c r="B54" s="24"/>
      <c r="C54" s="9"/>
      <c r="D54" s="9"/>
      <c r="E54" s="25"/>
      <c r="F54" s="25"/>
      <c r="G54" s="25"/>
      <c r="H54" s="8"/>
      <c r="I54" s="8"/>
    </row>
    <row r="55" spans="1:9" x14ac:dyDescent="0.2">
      <c r="A55" s="8"/>
      <c r="B55" s="24"/>
      <c r="C55" s="9"/>
      <c r="D55" s="9"/>
      <c r="E55" s="25"/>
      <c r="F55" s="25"/>
      <c r="G55" s="25"/>
      <c r="H55" s="8"/>
      <c r="I55" s="8"/>
    </row>
    <row r="56" spans="1:9" x14ac:dyDescent="0.2">
      <c r="A56" s="8"/>
      <c r="B56" s="9"/>
      <c r="C56" s="9"/>
      <c r="D56" s="9"/>
      <c r="E56" s="9"/>
      <c r="F56" s="9"/>
      <c r="G56" s="9"/>
      <c r="H56" s="8"/>
      <c r="I56" s="8"/>
    </row>
    <row r="57" spans="1:9" ht="13.5" thickBot="1" x14ac:dyDescent="0.25">
      <c r="A57" s="8"/>
      <c r="B57" s="9"/>
      <c r="C57" s="9"/>
      <c r="D57" s="9"/>
      <c r="E57" s="9"/>
      <c r="F57" s="9"/>
      <c r="G57" s="9"/>
      <c r="H57" s="8"/>
      <c r="I57" s="8"/>
    </row>
    <row r="58" spans="1:9" ht="15.75" x14ac:dyDescent="0.25">
      <c r="A58" s="8"/>
      <c r="B58" s="162" t="s">
        <v>42</v>
      </c>
      <c r="C58" s="163"/>
      <c r="D58" s="163"/>
      <c r="E58" s="163"/>
      <c r="F58" s="163"/>
      <c r="G58" s="164"/>
      <c r="H58" s="8"/>
      <c r="I58" s="8"/>
    </row>
    <row r="59" spans="1:9" x14ac:dyDescent="0.2">
      <c r="A59" s="8"/>
      <c r="B59" s="10"/>
      <c r="C59" s="2"/>
      <c r="D59" s="2"/>
      <c r="E59" s="2"/>
      <c r="F59" s="2"/>
      <c r="G59" s="11"/>
      <c r="H59" s="8"/>
      <c r="I59" s="8"/>
    </row>
    <row r="60" spans="1:9" x14ac:dyDescent="0.2">
      <c r="A60" s="8"/>
      <c r="B60" s="10"/>
      <c r="C60" s="165" t="s">
        <v>37</v>
      </c>
      <c r="D60" s="166"/>
      <c r="E60" s="12">
        <f>UnleadedBase</f>
        <v>3.3822999999999999</v>
      </c>
      <c r="F60" s="2"/>
      <c r="G60" s="11"/>
      <c r="H60" s="8"/>
      <c r="I60" s="8"/>
    </row>
    <row r="61" spans="1:9" x14ac:dyDescent="0.2">
      <c r="A61" s="8"/>
      <c r="B61" s="10"/>
      <c r="C61" s="167" t="s">
        <v>38</v>
      </c>
      <c r="D61" s="168"/>
      <c r="E61" s="13">
        <f>UnleadedCurrent</f>
        <v>3.3822999999999999</v>
      </c>
      <c r="F61" s="2"/>
      <c r="G61" s="11"/>
      <c r="H61" s="8"/>
      <c r="I61" s="8"/>
    </row>
    <row r="62" spans="1:9" x14ac:dyDescent="0.2">
      <c r="A62" s="8"/>
      <c r="B62" s="10"/>
      <c r="C62" s="169" t="s">
        <v>39</v>
      </c>
      <c r="D62" s="170"/>
      <c r="E62" s="14">
        <f>VLOOKUP(E61,E67:G106,3)</f>
        <v>0</v>
      </c>
      <c r="F62" s="2"/>
      <c r="G62" s="11"/>
      <c r="H62" s="8"/>
      <c r="I62" s="8"/>
    </row>
    <row r="63" spans="1:9" x14ac:dyDescent="0.2">
      <c r="A63" s="8"/>
      <c r="B63" s="10"/>
      <c r="C63" s="2"/>
      <c r="D63" s="2"/>
      <c r="E63" s="2"/>
      <c r="F63" s="2"/>
      <c r="G63" s="11"/>
      <c r="H63" s="8"/>
      <c r="I63" s="8"/>
    </row>
    <row r="64" spans="1:9" x14ac:dyDescent="0.2">
      <c r="A64" s="8"/>
      <c r="B64" s="10"/>
      <c r="C64" s="2"/>
      <c r="D64" s="2"/>
      <c r="E64" s="2"/>
      <c r="F64" s="2"/>
      <c r="G64" s="11"/>
      <c r="H64" s="8"/>
      <c r="I64" s="8"/>
    </row>
    <row r="65" spans="1:9" x14ac:dyDescent="0.2">
      <c r="A65" s="8"/>
      <c r="B65" s="10"/>
      <c r="C65" s="2"/>
      <c r="D65" s="2"/>
      <c r="E65" s="2"/>
      <c r="F65" s="2"/>
      <c r="G65" s="11"/>
      <c r="H65" s="8"/>
      <c r="I65" s="8"/>
    </row>
    <row r="66" spans="1:9" ht="13.5" thickBot="1" x14ac:dyDescent="0.25">
      <c r="A66" s="8"/>
      <c r="B66" s="10"/>
      <c r="C66" s="2"/>
      <c r="D66" s="2"/>
      <c r="E66" s="2"/>
      <c r="F66" s="2"/>
      <c r="G66" s="11"/>
      <c r="H66" s="8"/>
      <c r="I66" s="8"/>
    </row>
    <row r="67" spans="1:9" x14ac:dyDescent="0.2">
      <c r="A67" s="8"/>
      <c r="B67" s="171" t="s">
        <v>40</v>
      </c>
      <c r="C67" s="46">
        <v>90</v>
      </c>
      <c r="D67" s="15">
        <v>100</v>
      </c>
      <c r="E67" s="35">
        <f>0*UnleadedBase</f>
        <v>0</v>
      </c>
      <c r="F67" s="16">
        <f>0.1*UnleadedBase-0.0001</f>
        <v>0.33813000000000004</v>
      </c>
      <c r="G67" s="17">
        <f>-0.9*UnleadedBase</f>
        <v>-3.0440700000000001</v>
      </c>
      <c r="H67" s="8"/>
      <c r="I67" s="8"/>
    </row>
    <row r="68" spans="1:9" x14ac:dyDescent="0.2">
      <c r="A68" s="8"/>
      <c r="B68" s="172"/>
      <c r="C68" s="47">
        <v>80</v>
      </c>
      <c r="D68" s="18">
        <v>90</v>
      </c>
      <c r="E68" s="37">
        <f>0.1*UnleadedBase</f>
        <v>0.33823000000000003</v>
      </c>
      <c r="F68" s="19">
        <f>0.2*UnleadedBase-0.0001</f>
        <v>0.67636000000000007</v>
      </c>
      <c r="G68" s="20">
        <f>-0.8*UnleadedBase</f>
        <v>-2.7058400000000002</v>
      </c>
      <c r="H68" s="8"/>
      <c r="I68" s="8"/>
    </row>
    <row r="69" spans="1:9" x14ac:dyDescent="0.2">
      <c r="A69" s="8"/>
      <c r="B69" s="172"/>
      <c r="C69" s="47">
        <v>70</v>
      </c>
      <c r="D69" s="18">
        <v>80</v>
      </c>
      <c r="E69" s="37">
        <f>0.2*UnleadedBase</f>
        <v>0.67646000000000006</v>
      </c>
      <c r="F69" s="19">
        <f>0.3*UnleadedBase-0.0001</f>
        <v>1.0145899999999999</v>
      </c>
      <c r="G69" s="20">
        <f>-0.7*UnleadedBase</f>
        <v>-2.3676099999999995</v>
      </c>
      <c r="H69" s="8"/>
      <c r="I69" s="8"/>
    </row>
    <row r="70" spans="1:9" x14ac:dyDescent="0.2">
      <c r="A70" s="8"/>
      <c r="B70" s="172"/>
      <c r="C70" s="47">
        <v>60</v>
      </c>
      <c r="D70" s="18">
        <v>70</v>
      </c>
      <c r="E70" s="37">
        <f>0.3*UnleadedBase</f>
        <v>1.0146899999999999</v>
      </c>
      <c r="F70" s="19">
        <f>0.4*UnleadedBase-0.0001</f>
        <v>1.3528200000000001</v>
      </c>
      <c r="G70" s="20">
        <f>-0.6*UnleadedBase</f>
        <v>-2.0293799999999997</v>
      </c>
      <c r="H70" s="8"/>
      <c r="I70" s="8"/>
    </row>
    <row r="71" spans="1:9" x14ac:dyDescent="0.2">
      <c r="A71" s="8"/>
      <c r="B71" s="172"/>
      <c r="C71" s="47">
        <v>50</v>
      </c>
      <c r="D71" s="18">
        <v>60</v>
      </c>
      <c r="E71" s="37">
        <f>0.4*UnleadedBase</f>
        <v>1.3529200000000001</v>
      </c>
      <c r="F71" s="19">
        <f>0.5*UnleadedBase-0.0001</f>
        <v>1.6910499999999999</v>
      </c>
      <c r="G71" s="20">
        <f>-0.5*UnleadedBase</f>
        <v>-1.6911499999999999</v>
      </c>
      <c r="H71" s="8"/>
      <c r="I71" s="8"/>
    </row>
    <row r="72" spans="1:9" x14ac:dyDescent="0.2">
      <c r="A72" s="8"/>
      <c r="B72" s="172"/>
      <c r="C72" s="47">
        <v>40</v>
      </c>
      <c r="D72" s="18">
        <v>50</v>
      </c>
      <c r="E72" s="37">
        <f>0.5*UnleadedBase</f>
        <v>1.6911499999999999</v>
      </c>
      <c r="F72" s="19">
        <f>0.6*UnleadedBase-0.0001</f>
        <v>2.0292799999999995</v>
      </c>
      <c r="G72" s="20">
        <f>-0.4*UnleadedBase</f>
        <v>-1.3529200000000001</v>
      </c>
      <c r="H72" s="8"/>
      <c r="I72" s="8"/>
    </row>
    <row r="73" spans="1:9" x14ac:dyDescent="0.2">
      <c r="A73" s="8"/>
      <c r="B73" s="172"/>
      <c r="C73" s="47">
        <v>30</v>
      </c>
      <c r="D73" s="18">
        <v>40</v>
      </c>
      <c r="E73" s="37">
        <f>0.6*UnleadedBase</f>
        <v>2.0293799999999997</v>
      </c>
      <c r="F73" s="19">
        <f>0.7*UnleadedBase-0.0001</f>
        <v>2.3675099999999993</v>
      </c>
      <c r="G73" s="20">
        <f>-0.3*UnleadedBase</f>
        <v>-1.0146899999999999</v>
      </c>
      <c r="H73" s="8"/>
      <c r="I73" s="8"/>
    </row>
    <row r="74" spans="1:9" x14ac:dyDescent="0.2">
      <c r="A74" s="8"/>
      <c r="B74" s="172"/>
      <c r="C74" s="47">
        <v>20</v>
      </c>
      <c r="D74" s="18">
        <v>30</v>
      </c>
      <c r="E74" s="37">
        <f>0.7*UnleadedBase</f>
        <v>2.3676099999999995</v>
      </c>
      <c r="F74" s="19">
        <f>0.8*UnleadedBase-0.0001</f>
        <v>2.70574</v>
      </c>
      <c r="G74" s="20">
        <f>-0.2*UnleadedBase</f>
        <v>-0.67646000000000006</v>
      </c>
      <c r="H74" s="8"/>
      <c r="I74" s="8"/>
    </row>
    <row r="75" spans="1:9" x14ac:dyDescent="0.2">
      <c r="A75" s="8"/>
      <c r="B75" s="172"/>
      <c r="C75" s="47">
        <v>10</v>
      </c>
      <c r="D75" s="18">
        <v>20</v>
      </c>
      <c r="E75" s="37">
        <f>0.8*UnleadedBase</f>
        <v>2.7058400000000002</v>
      </c>
      <c r="F75" s="19">
        <f>0.9*UnleadedBase-0.0001</f>
        <v>3.0439699999999998</v>
      </c>
      <c r="G75" s="20">
        <f>-0.1*UnleadedBase</f>
        <v>-0.33823000000000003</v>
      </c>
      <c r="H75" s="8"/>
      <c r="I75" s="8"/>
    </row>
    <row r="76" spans="1:9" x14ac:dyDescent="0.2">
      <c r="A76" s="8"/>
      <c r="B76" s="173"/>
      <c r="C76" s="54">
        <v>0</v>
      </c>
      <c r="D76" s="53">
        <v>10</v>
      </c>
      <c r="E76" s="39">
        <f>0.9*UnleadedBase</f>
        <v>3.0440700000000001</v>
      </c>
      <c r="F76" s="40">
        <f>1*UnleadedBase-0.0001</f>
        <v>3.3821999999999997</v>
      </c>
      <c r="G76" s="41">
        <f>0*UnleadedBase</f>
        <v>0</v>
      </c>
      <c r="H76" s="8"/>
      <c r="I76" s="8"/>
    </row>
    <row r="77" spans="1:9" x14ac:dyDescent="0.2">
      <c r="A77" s="8"/>
      <c r="B77" s="174" t="s">
        <v>41</v>
      </c>
      <c r="C77" s="55">
        <v>0</v>
      </c>
      <c r="D77" s="52">
        <v>10</v>
      </c>
      <c r="E77" s="43">
        <f>1*UnleadedBase</f>
        <v>3.3822999999999999</v>
      </c>
      <c r="F77" s="44">
        <f>1.1*UnleadedBase</f>
        <v>3.7205300000000001</v>
      </c>
      <c r="G77" s="45">
        <f>0*UnleadedBase</f>
        <v>0</v>
      </c>
      <c r="H77" s="8"/>
      <c r="I77" s="8"/>
    </row>
    <row r="78" spans="1:9" x14ac:dyDescent="0.2">
      <c r="A78" s="8"/>
      <c r="B78" s="172"/>
      <c r="C78" s="47">
        <v>10</v>
      </c>
      <c r="D78" s="18">
        <v>20</v>
      </c>
      <c r="E78" s="36">
        <f>1.1*UnleadedBase+0.0001</f>
        <v>3.7206300000000003</v>
      </c>
      <c r="F78" s="19">
        <f>1.2*UnleadedBase</f>
        <v>4.0587599999999995</v>
      </c>
      <c r="G78" s="20">
        <f>0.1*UnleadedBase</f>
        <v>0.33823000000000003</v>
      </c>
      <c r="H78" s="8"/>
      <c r="I78" s="8"/>
    </row>
    <row r="79" spans="1:9" x14ac:dyDescent="0.2">
      <c r="A79" s="8"/>
      <c r="B79" s="172"/>
      <c r="C79" s="47">
        <v>20</v>
      </c>
      <c r="D79" s="18">
        <v>30</v>
      </c>
      <c r="E79" s="36">
        <f>1.2*UnleadedBase+0.0001</f>
        <v>4.0588599999999992</v>
      </c>
      <c r="F79" s="19">
        <f>1.3*UnleadedBase</f>
        <v>4.3969899999999997</v>
      </c>
      <c r="G79" s="20">
        <f>0.2*UnleadedBase</f>
        <v>0.67646000000000006</v>
      </c>
      <c r="H79" s="8"/>
      <c r="I79" s="8"/>
    </row>
    <row r="80" spans="1:9" x14ac:dyDescent="0.2">
      <c r="A80" s="8"/>
      <c r="B80" s="172"/>
      <c r="C80" s="47">
        <v>30</v>
      </c>
      <c r="D80" s="18">
        <v>40</v>
      </c>
      <c r="E80" s="36">
        <f>1.3*UnleadedBase+0.0001</f>
        <v>4.3970899999999995</v>
      </c>
      <c r="F80" s="19">
        <f>1.4*UnleadedBase</f>
        <v>4.7352199999999991</v>
      </c>
      <c r="G80" s="20">
        <f>0.3*UnleadedBase</f>
        <v>1.0146899999999999</v>
      </c>
      <c r="H80" s="8"/>
      <c r="I80" s="8"/>
    </row>
    <row r="81" spans="1:9" x14ac:dyDescent="0.2">
      <c r="A81" s="8"/>
      <c r="B81" s="172"/>
      <c r="C81" s="47">
        <v>40</v>
      </c>
      <c r="D81" s="18">
        <v>50</v>
      </c>
      <c r="E81" s="36">
        <f>1.4*UnleadedBase+0.0001</f>
        <v>4.7353199999999989</v>
      </c>
      <c r="F81" s="19">
        <f>1.5*UnleadedBase</f>
        <v>5.0734499999999993</v>
      </c>
      <c r="G81" s="20">
        <f>0.4*UnleadedBase</f>
        <v>1.3529200000000001</v>
      </c>
      <c r="H81" s="8"/>
      <c r="I81" s="8"/>
    </row>
    <row r="82" spans="1:9" x14ac:dyDescent="0.2">
      <c r="A82" s="8"/>
      <c r="B82" s="172"/>
      <c r="C82" s="47">
        <v>50</v>
      </c>
      <c r="D82" s="18">
        <v>60</v>
      </c>
      <c r="E82" s="36">
        <f>1.5*UnleadedBase+0.0001</f>
        <v>5.0735499999999991</v>
      </c>
      <c r="F82" s="19">
        <f>1.6*UnleadedBase</f>
        <v>5.4116800000000005</v>
      </c>
      <c r="G82" s="20">
        <f>0.5*UnleadedBase</f>
        <v>1.6911499999999999</v>
      </c>
      <c r="H82" s="8"/>
      <c r="I82" s="8"/>
    </row>
    <row r="83" spans="1:9" x14ac:dyDescent="0.2">
      <c r="A83" s="8"/>
      <c r="B83" s="172"/>
      <c r="C83" s="47">
        <v>60</v>
      </c>
      <c r="D83" s="18">
        <v>70</v>
      </c>
      <c r="E83" s="36">
        <f>1.6*UnleadedBase+0.0001</f>
        <v>5.4117800000000003</v>
      </c>
      <c r="F83" s="19">
        <f>1.7*UnleadedBase</f>
        <v>5.7499099999999999</v>
      </c>
      <c r="G83" s="20">
        <f>0.6*UnleadedBase</f>
        <v>2.0293799999999997</v>
      </c>
      <c r="H83" s="8"/>
      <c r="I83" s="8"/>
    </row>
    <row r="84" spans="1:9" x14ac:dyDescent="0.2">
      <c r="A84" s="8"/>
      <c r="B84" s="172"/>
      <c r="C84" s="47">
        <v>70</v>
      </c>
      <c r="D84" s="18">
        <v>80</v>
      </c>
      <c r="E84" s="36">
        <f>1.7*UnleadedBase+0.0001</f>
        <v>5.7500099999999996</v>
      </c>
      <c r="F84" s="19">
        <f>1.8*UnleadedBase</f>
        <v>6.0881400000000001</v>
      </c>
      <c r="G84" s="20">
        <f>0.7*UnleadedBase</f>
        <v>2.3676099999999995</v>
      </c>
      <c r="H84" s="8"/>
      <c r="I84" s="8"/>
    </row>
    <row r="85" spans="1:9" x14ac:dyDescent="0.2">
      <c r="A85" s="8"/>
      <c r="B85" s="172"/>
      <c r="C85" s="47">
        <v>80</v>
      </c>
      <c r="D85" s="18">
        <v>90</v>
      </c>
      <c r="E85" s="36">
        <f>1.8*UnleadedBase+0.0001</f>
        <v>6.0882399999999999</v>
      </c>
      <c r="F85" s="19">
        <f>1.9*UnleadedBase</f>
        <v>6.4263699999999995</v>
      </c>
      <c r="G85" s="20">
        <f>0.8*UnleadedBase</f>
        <v>2.7058400000000002</v>
      </c>
      <c r="H85" s="8"/>
      <c r="I85" s="8"/>
    </row>
    <row r="86" spans="1:9" x14ac:dyDescent="0.2">
      <c r="A86" s="8"/>
      <c r="B86" s="172"/>
      <c r="C86" s="47">
        <v>90</v>
      </c>
      <c r="D86" s="18">
        <v>100</v>
      </c>
      <c r="E86" s="36">
        <f>1.9*UnleadedBase+0.0001</f>
        <v>6.4264699999999992</v>
      </c>
      <c r="F86" s="19">
        <f>2*UnleadedBase</f>
        <v>6.7645999999999997</v>
      </c>
      <c r="G86" s="20">
        <f>0.9*UnleadedBase</f>
        <v>3.0440700000000001</v>
      </c>
      <c r="H86" s="8"/>
      <c r="I86" s="8"/>
    </row>
    <row r="87" spans="1:9" x14ac:dyDescent="0.2">
      <c r="A87" s="8"/>
      <c r="B87" s="172"/>
      <c r="C87" s="47">
        <v>100</v>
      </c>
      <c r="D87" s="18">
        <v>110</v>
      </c>
      <c r="E87" s="36">
        <f>2*UnleadedBase+0.0001</f>
        <v>6.7646999999999995</v>
      </c>
      <c r="F87" s="19">
        <f>2.1*UnleadedBase</f>
        <v>7.10283</v>
      </c>
      <c r="G87" s="20">
        <f>1*UnleadedBase</f>
        <v>3.3822999999999999</v>
      </c>
      <c r="H87" s="8"/>
      <c r="I87" s="8"/>
    </row>
    <row r="88" spans="1:9" x14ac:dyDescent="0.2">
      <c r="A88" s="8"/>
      <c r="B88" s="172"/>
      <c r="C88" s="47">
        <v>110</v>
      </c>
      <c r="D88" s="18">
        <v>120</v>
      </c>
      <c r="E88" s="36">
        <f>2.1*UnleadedBase+0.0001</f>
        <v>7.1029299999999997</v>
      </c>
      <c r="F88" s="19">
        <f>2.2*UnleadedBase</f>
        <v>7.4410600000000002</v>
      </c>
      <c r="G88" s="20">
        <f>1.1*UnleadedBase</f>
        <v>3.7205300000000001</v>
      </c>
      <c r="H88" s="8"/>
      <c r="I88" s="8"/>
    </row>
    <row r="89" spans="1:9" x14ac:dyDescent="0.2">
      <c r="A89" s="8"/>
      <c r="B89" s="172"/>
      <c r="C89" s="47">
        <v>120</v>
      </c>
      <c r="D89" s="18">
        <v>130</v>
      </c>
      <c r="E89" s="36">
        <f>2.2*UnleadedBase+0.0001</f>
        <v>7.44116</v>
      </c>
      <c r="F89" s="19">
        <f>2.3*UnleadedBase</f>
        <v>7.7792899999999987</v>
      </c>
      <c r="G89" s="20">
        <f>1.2*UnleadedBase</f>
        <v>4.0587599999999995</v>
      </c>
      <c r="H89" s="8"/>
      <c r="I89" s="8"/>
    </row>
    <row r="90" spans="1:9" x14ac:dyDescent="0.2">
      <c r="A90" s="8"/>
      <c r="B90" s="172"/>
      <c r="C90" s="47">
        <v>130</v>
      </c>
      <c r="D90" s="18">
        <v>140</v>
      </c>
      <c r="E90" s="36">
        <f>2.3*UnleadedBase+0.0001</f>
        <v>7.7793899999999985</v>
      </c>
      <c r="F90" s="19">
        <f>2.4*UnleadedBase</f>
        <v>8.117519999999999</v>
      </c>
      <c r="G90" s="20">
        <f>1.3*UnleadedBase</f>
        <v>4.3969899999999997</v>
      </c>
      <c r="H90" s="8"/>
      <c r="I90" s="8"/>
    </row>
    <row r="91" spans="1:9" x14ac:dyDescent="0.2">
      <c r="A91" s="8"/>
      <c r="B91" s="172"/>
      <c r="C91" s="47">
        <v>140</v>
      </c>
      <c r="D91" s="18">
        <v>150</v>
      </c>
      <c r="E91" s="36">
        <f>2.4*UnleadedBase+0.0001</f>
        <v>8.1176199999999987</v>
      </c>
      <c r="F91" s="19">
        <f>2.5*UnleadedBase</f>
        <v>8.4557500000000001</v>
      </c>
      <c r="G91" s="20">
        <f>1.4*UnleadedBase</f>
        <v>4.7352199999999991</v>
      </c>
      <c r="H91" s="8"/>
      <c r="I91" s="8"/>
    </row>
    <row r="92" spans="1:9" x14ac:dyDescent="0.2">
      <c r="A92" s="8"/>
      <c r="B92" s="172"/>
      <c r="C92" s="47">
        <v>150</v>
      </c>
      <c r="D92" s="18">
        <v>160</v>
      </c>
      <c r="E92" s="36">
        <f>2.5*UnleadedBase+0.0001</f>
        <v>8.4558499999999999</v>
      </c>
      <c r="F92" s="19">
        <f>2.6*UnleadedBase</f>
        <v>8.7939799999999995</v>
      </c>
      <c r="G92" s="20">
        <f>1.5*UnleadedBase</f>
        <v>5.0734499999999993</v>
      </c>
      <c r="H92" s="8"/>
      <c r="I92" s="8"/>
    </row>
    <row r="93" spans="1:9" x14ac:dyDescent="0.2">
      <c r="A93" s="8"/>
      <c r="B93" s="172"/>
      <c r="C93" s="47">
        <v>160</v>
      </c>
      <c r="D93" s="18">
        <v>170</v>
      </c>
      <c r="E93" s="36">
        <f>2.6*UnleadedBase+0.0001</f>
        <v>8.7940799999999992</v>
      </c>
      <c r="F93" s="19">
        <f>2.7*UnleadedBase</f>
        <v>9.1322100000000006</v>
      </c>
      <c r="G93" s="20">
        <f>1.6*UnleadedBase</f>
        <v>5.4116800000000005</v>
      </c>
      <c r="H93" s="8"/>
      <c r="I93" s="8"/>
    </row>
    <row r="94" spans="1:9" x14ac:dyDescent="0.2">
      <c r="A94" s="8"/>
      <c r="B94" s="172"/>
      <c r="C94" s="47">
        <v>170</v>
      </c>
      <c r="D94" s="18">
        <v>180</v>
      </c>
      <c r="E94" s="36">
        <f>2.7*UnleadedBase+0.0001</f>
        <v>9.1323100000000004</v>
      </c>
      <c r="F94" s="19">
        <f>2.8*UnleadedBase</f>
        <v>9.4704399999999982</v>
      </c>
      <c r="G94" s="20">
        <f>1.7*UnleadedBase</f>
        <v>5.7499099999999999</v>
      </c>
      <c r="H94" s="8"/>
      <c r="I94" s="8"/>
    </row>
    <row r="95" spans="1:9" x14ac:dyDescent="0.2">
      <c r="A95" s="8"/>
      <c r="B95" s="172"/>
      <c r="C95" s="47">
        <v>180</v>
      </c>
      <c r="D95" s="18">
        <v>190</v>
      </c>
      <c r="E95" s="36">
        <f>2.8*UnleadedBase+0.0001</f>
        <v>9.470539999999998</v>
      </c>
      <c r="F95" s="19">
        <f>2.9*UnleadedBase</f>
        <v>9.8086699999999993</v>
      </c>
      <c r="G95" s="20">
        <f>1.8*UnleadedBase</f>
        <v>6.0881400000000001</v>
      </c>
      <c r="H95" s="8"/>
      <c r="I95" s="8"/>
    </row>
    <row r="96" spans="1:9" x14ac:dyDescent="0.2">
      <c r="A96" s="8"/>
      <c r="B96" s="172"/>
      <c r="C96" s="47">
        <v>190</v>
      </c>
      <c r="D96" s="18">
        <v>200</v>
      </c>
      <c r="E96" s="36">
        <f>2.9*UnleadedBase+0.0001</f>
        <v>9.8087699999999991</v>
      </c>
      <c r="F96" s="19">
        <f>3*UnleadedBase</f>
        <v>10.146899999999999</v>
      </c>
      <c r="G96" s="20">
        <f>1.9*UnleadedBase</f>
        <v>6.4263699999999995</v>
      </c>
      <c r="H96" s="8"/>
      <c r="I96" s="8"/>
    </row>
    <row r="97" spans="1:9" x14ac:dyDescent="0.2">
      <c r="A97" s="8"/>
      <c r="B97" s="172"/>
      <c r="C97" s="47">
        <v>200</v>
      </c>
      <c r="D97" s="18">
        <v>210</v>
      </c>
      <c r="E97" s="36">
        <f>3*UnleadedBase+0.0001</f>
        <v>10.146999999999998</v>
      </c>
      <c r="F97" s="19">
        <f>3.1*UnleadedBase</f>
        <v>10.48513</v>
      </c>
      <c r="G97" s="20">
        <f>2*UnleadedBase</f>
        <v>6.7645999999999997</v>
      </c>
      <c r="H97" s="8"/>
      <c r="I97" s="8"/>
    </row>
    <row r="98" spans="1:9" x14ac:dyDescent="0.2">
      <c r="A98" s="8"/>
      <c r="B98" s="172"/>
      <c r="C98" s="47">
        <v>210</v>
      </c>
      <c r="D98" s="18">
        <v>220</v>
      </c>
      <c r="E98" s="36">
        <f>3.1*UnleadedBase+0.0001</f>
        <v>10.48523</v>
      </c>
      <c r="F98" s="19">
        <f>3.2*UnleadedBase</f>
        <v>10.823360000000001</v>
      </c>
      <c r="G98" s="20">
        <f>2.1*UnleadedBase</f>
        <v>7.10283</v>
      </c>
      <c r="H98" s="8"/>
      <c r="I98" s="8"/>
    </row>
    <row r="99" spans="1:9" x14ac:dyDescent="0.2">
      <c r="A99" s="8"/>
      <c r="B99" s="172"/>
      <c r="C99" s="47">
        <v>220</v>
      </c>
      <c r="D99" s="18">
        <v>230</v>
      </c>
      <c r="E99" s="36">
        <f>3.2*UnleadedBase+0.0001</f>
        <v>10.823460000000001</v>
      </c>
      <c r="F99" s="19">
        <f>3.3*UnleadedBase</f>
        <v>11.161589999999999</v>
      </c>
      <c r="G99" s="20">
        <f>2.2*UnleadedBase</f>
        <v>7.4410600000000002</v>
      </c>
      <c r="H99" s="8"/>
      <c r="I99" s="8"/>
    </row>
    <row r="100" spans="1:9" x14ac:dyDescent="0.2">
      <c r="A100" s="8"/>
      <c r="B100" s="172"/>
      <c r="C100" s="47">
        <v>230</v>
      </c>
      <c r="D100" s="18">
        <v>240</v>
      </c>
      <c r="E100" s="36">
        <f>3.3*UnleadedBase+0.0001</f>
        <v>11.161689999999998</v>
      </c>
      <c r="F100" s="19">
        <f>3.4*UnleadedBase</f>
        <v>11.49982</v>
      </c>
      <c r="G100" s="20">
        <f>2.3*UnleadedBase</f>
        <v>7.7792899999999987</v>
      </c>
      <c r="H100" s="8"/>
      <c r="I100" s="8"/>
    </row>
    <row r="101" spans="1:9" x14ac:dyDescent="0.2">
      <c r="A101" s="8"/>
      <c r="B101" s="172"/>
      <c r="C101" s="47">
        <v>240</v>
      </c>
      <c r="D101" s="18">
        <v>250</v>
      </c>
      <c r="E101" s="36">
        <f>3.4*UnleadedBase+0.0001</f>
        <v>11.499919999999999</v>
      </c>
      <c r="F101" s="19">
        <f>3.5*UnleadedBase</f>
        <v>11.838049999999999</v>
      </c>
      <c r="G101" s="20">
        <f>2.4*UnleadedBase</f>
        <v>8.117519999999999</v>
      </c>
      <c r="H101" s="8"/>
      <c r="I101" s="8"/>
    </row>
    <row r="102" spans="1:9" x14ac:dyDescent="0.2">
      <c r="A102" s="8"/>
      <c r="B102" s="172"/>
      <c r="C102" s="47">
        <v>250</v>
      </c>
      <c r="D102" s="18">
        <v>260</v>
      </c>
      <c r="E102" s="36">
        <f>3.5*UnleadedBase+0.0001</f>
        <v>11.838149999999999</v>
      </c>
      <c r="F102" s="19">
        <f>3.6*UnleadedBase</f>
        <v>12.17628</v>
      </c>
      <c r="G102" s="20">
        <f>2.5*UnleadedBase</f>
        <v>8.4557500000000001</v>
      </c>
      <c r="H102" s="8"/>
      <c r="I102" s="8"/>
    </row>
    <row r="103" spans="1:9" x14ac:dyDescent="0.2">
      <c r="A103" s="8"/>
      <c r="B103" s="172"/>
      <c r="C103" s="47">
        <v>260</v>
      </c>
      <c r="D103" s="18">
        <v>270</v>
      </c>
      <c r="E103" s="36">
        <f>3.6*UnleadedBase+0.0001</f>
        <v>12.17638</v>
      </c>
      <c r="F103" s="19">
        <f>3.7*UnleadedBase</f>
        <v>12.51451</v>
      </c>
      <c r="G103" s="20">
        <f>2.6*UnleadedBase</f>
        <v>8.7939799999999995</v>
      </c>
      <c r="H103" s="8"/>
      <c r="I103" s="8"/>
    </row>
    <row r="104" spans="1:9" x14ac:dyDescent="0.2">
      <c r="A104" s="8"/>
      <c r="B104" s="172"/>
      <c r="C104" s="47">
        <v>270</v>
      </c>
      <c r="D104" s="18">
        <v>280</v>
      </c>
      <c r="E104" s="36">
        <f>3.7*UnleadedBase+0.0001</f>
        <v>12.514609999999999</v>
      </c>
      <c r="F104" s="19">
        <f>3.8*UnleadedBase</f>
        <v>12.852739999999999</v>
      </c>
      <c r="G104" s="20">
        <f>2.7*UnleadedBase</f>
        <v>9.1322100000000006</v>
      </c>
      <c r="H104" s="8"/>
      <c r="I104" s="8"/>
    </row>
    <row r="105" spans="1:9" x14ac:dyDescent="0.2">
      <c r="A105" s="8"/>
      <c r="B105" s="172"/>
      <c r="C105" s="47">
        <v>280</v>
      </c>
      <c r="D105" s="18">
        <v>290</v>
      </c>
      <c r="E105" s="36">
        <f>3.8*UnleadedBase+0.0001</f>
        <v>12.852839999999999</v>
      </c>
      <c r="F105" s="19">
        <f>3.9*UnleadedBase</f>
        <v>13.190969999999998</v>
      </c>
      <c r="G105" s="20">
        <f>2.8*UnleadedBase</f>
        <v>9.4704399999999982</v>
      </c>
      <c r="H105" s="8"/>
      <c r="I105" s="8"/>
    </row>
    <row r="106" spans="1:9" ht="13.5" thickBot="1" x14ac:dyDescent="0.25">
      <c r="A106" s="8"/>
      <c r="B106" s="175"/>
      <c r="C106" s="50">
        <v>290</v>
      </c>
      <c r="D106" s="21">
        <v>300</v>
      </c>
      <c r="E106" s="51">
        <f>3.9*UnleadedBase+0.0001</f>
        <v>13.191069999999998</v>
      </c>
      <c r="F106" s="22">
        <f>4*UnleadedBase</f>
        <v>13.529199999999999</v>
      </c>
      <c r="G106" s="23">
        <f>2.9*UnleadedBase</f>
        <v>9.8086699999999993</v>
      </c>
      <c r="H106" s="8"/>
      <c r="I106" s="8"/>
    </row>
    <row r="107" spans="1:9" x14ac:dyDescent="0.2">
      <c r="A107" s="8"/>
      <c r="B107" s="24"/>
      <c r="C107" s="9"/>
      <c r="D107" s="9"/>
      <c r="E107" s="25"/>
      <c r="F107" s="25"/>
      <c r="G107" s="25"/>
      <c r="H107" s="8"/>
      <c r="I107" s="8"/>
    </row>
    <row r="108" spans="1:9" x14ac:dyDescent="0.2">
      <c r="A108" s="8"/>
      <c r="B108" s="24"/>
      <c r="C108" s="9"/>
      <c r="D108" s="9"/>
      <c r="E108" s="25"/>
      <c r="F108" s="25"/>
      <c r="G108" s="25"/>
      <c r="H108" s="8"/>
      <c r="I108" s="8"/>
    </row>
    <row r="109" spans="1:9" x14ac:dyDescent="0.2">
      <c r="A109" s="8"/>
      <c r="B109" s="24"/>
      <c r="C109" s="9"/>
      <c r="D109" s="9"/>
      <c r="E109" s="25"/>
      <c r="F109" s="25"/>
      <c r="G109" s="25"/>
      <c r="H109" s="8"/>
      <c r="I109" s="8"/>
    </row>
    <row r="110" spans="1:9" x14ac:dyDescent="0.2">
      <c r="A110" s="8"/>
      <c r="B110" s="24"/>
      <c r="C110" s="9"/>
      <c r="D110" s="9"/>
      <c r="E110" s="25"/>
      <c r="F110" s="25"/>
      <c r="G110" s="25"/>
      <c r="H110" s="8"/>
      <c r="I110" s="8"/>
    </row>
  </sheetData>
  <sheetProtection algorithmName="SHA-512" hashValue="2zvdgFTO1HckVd6ZqawuVnd+gGi2NRFQx4lb0swIRR/5uOV53HOF/oyqlJe/D4fQQWt4OI4803AgeTJJgMtaUQ==" saltValue="sz5Zdrms3Bms/saMjYKw4Q==" spinCount="100000" sheet="1" objects="1" scenarios="1"/>
  <mergeCells count="12">
    <mergeCell ref="B67:B76"/>
    <mergeCell ref="B77:B106"/>
    <mergeCell ref="B12:B21"/>
    <mergeCell ref="B22:B51"/>
    <mergeCell ref="B58:G58"/>
    <mergeCell ref="C60:D60"/>
    <mergeCell ref="C62:D62"/>
    <mergeCell ref="B3:G3"/>
    <mergeCell ref="C5:D5"/>
    <mergeCell ref="C6:D6"/>
    <mergeCell ref="C7:D7"/>
    <mergeCell ref="C61:D61"/>
  </mergeCells>
  <phoneticPr fontId="0" type="noConversion"/>
  <conditionalFormatting sqref="G12:G51">
    <cfRule type="cellIs" dxfId="2" priority="1" stopIfTrue="1" operator="equal">
      <formula>$E$7</formula>
    </cfRule>
  </conditionalFormatting>
  <conditionalFormatting sqref="G67:G106">
    <cfRule type="cellIs" dxfId="1" priority="2" stopIfTrue="1" operator="equal">
      <formula>$E$62</formula>
    </cfRule>
  </conditionalFormatting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108"/>
  <sheetViews>
    <sheetView zoomScale="115" zoomScaleNormal="115" workbookViewId="0">
      <selection activeCell="J5" sqref="J5:J6"/>
    </sheetView>
  </sheetViews>
  <sheetFormatPr defaultRowHeight="12.75" x14ac:dyDescent="0.2"/>
  <cols>
    <col min="3" max="4" width="9.7109375" customWidth="1"/>
    <col min="5" max="7" width="11.7109375" customWidth="1"/>
  </cols>
  <sheetData>
    <row r="1" spans="1:8" ht="24.75" customHeight="1" thickBot="1" x14ac:dyDescent="0.25">
      <c r="A1" s="8"/>
      <c r="B1" s="9"/>
      <c r="C1" s="9"/>
      <c r="D1" s="9"/>
      <c r="E1" s="9"/>
      <c r="F1" s="9"/>
      <c r="G1" s="9"/>
      <c r="H1" s="8"/>
    </row>
    <row r="2" spans="1:8" ht="15.75" x14ac:dyDescent="0.25">
      <c r="A2" s="8"/>
      <c r="B2" s="185" t="s">
        <v>43</v>
      </c>
      <c r="C2" s="186"/>
      <c r="D2" s="186"/>
      <c r="E2" s="186"/>
      <c r="F2" s="186"/>
      <c r="G2" s="187"/>
      <c r="H2" s="8"/>
    </row>
    <row r="3" spans="1:8" x14ac:dyDescent="0.2">
      <c r="A3" s="8"/>
      <c r="B3" s="10"/>
      <c r="C3" s="2"/>
      <c r="D3" s="2"/>
      <c r="E3" s="2"/>
      <c r="F3" s="2"/>
      <c r="G3" s="11"/>
      <c r="H3" s="8"/>
    </row>
    <row r="4" spans="1:8" x14ac:dyDescent="0.2">
      <c r="A4" s="8"/>
      <c r="B4" s="10"/>
      <c r="C4" s="165" t="s">
        <v>37</v>
      </c>
      <c r="D4" s="166"/>
      <c r="E4" s="26">
        <f>AsphaltBinderBase</f>
        <v>737.13</v>
      </c>
      <c r="F4" s="2"/>
      <c r="G4" s="11"/>
      <c r="H4" s="8"/>
    </row>
    <row r="5" spans="1:8" x14ac:dyDescent="0.2">
      <c r="A5" s="8"/>
      <c r="B5" s="10"/>
      <c r="C5" s="167" t="s">
        <v>38</v>
      </c>
      <c r="D5" s="168"/>
      <c r="E5" s="26">
        <f>AsphaltBinderCurrent</f>
        <v>737.13</v>
      </c>
      <c r="F5" s="2"/>
      <c r="G5" s="11"/>
      <c r="H5" s="8"/>
    </row>
    <row r="6" spans="1:8" x14ac:dyDescent="0.2">
      <c r="A6" s="8"/>
      <c r="B6" s="10"/>
      <c r="C6" s="169" t="s">
        <v>39</v>
      </c>
      <c r="D6" s="170"/>
      <c r="E6" s="27">
        <f>VLOOKUP(E5,E11:G105,3)</f>
        <v>0</v>
      </c>
      <c r="F6" s="2"/>
      <c r="G6" s="11"/>
      <c r="H6" s="8"/>
    </row>
    <row r="7" spans="1:8" x14ac:dyDescent="0.2">
      <c r="A7" s="8"/>
      <c r="B7" s="10"/>
      <c r="C7" s="2"/>
      <c r="D7" s="2"/>
      <c r="E7" s="2"/>
      <c r="F7" s="2"/>
      <c r="G7" s="11"/>
      <c r="H7" s="8"/>
    </row>
    <row r="8" spans="1:8" x14ac:dyDescent="0.2">
      <c r="A8" s="8"/>
      <c r="B8" s="10"/>
      <c r="C8" s="2"/>
      <c r="D8" s="2"/>
      <c r="E8" s="2"/>
      <c r="F8" s="2"/>
      <c r="G8" s="11"/>
      <c r="H8" s="8"/>
    </row>
    <row r="9" spans="1:8" x14ac:dyDescent="0.2">
      <c r="A9" s="8"/>
      <c r="B9" s="10"/>
      <c r="C9" s="2"/>
      <c r="D9" s="2"/>
      <c r="E9" s="2"/>
      <c r="F9" s="2"/>
      <c r="G9" s="11"/>
      <c r="H9" s="8"/>
    </row>
    <row r="10" spans="1:8" x14ac:dyDescent="0.2">
      <c r="A10" s="8"/>
      <c r="B10" s="10"/>
      <c r="C10" s="2"/>
      <c r="D10" s="2"/>
      <c r="E10" s="2"/>
      <c r="F10" s="2"/>
      <c r="G10" s="11"/>
      <c r="H10" s="8"/>
    </row>
    <row r="11" spans="1:8" x14ac:dyDescent="0.2">
      <c r="A11" s="8"/>
      <c r="B11" s="182" t="s">
        <v>40</v>
      </c>
      <c r="C11" s="49">
        <v>95</v>
      </c>
      <c r="D11" s="42">
        <v>100</v>
      </c>
      <c r="E11" s="60">
        <f>0*AsphaltBinderBase</f>
        <v>0</v>
      </c>
      <c r="F11" s="60">
        <f>0.05*AsphaltBinderBase-0.01</f>
        <v>36.846500000000006</v>
      </c>
      <c r="G11" s="62">
        <f>-0.95*AsphaltBinderBase</f>
        <v>-700.27350000000001</v>
      </c>
      <c r="H11" s="8"/>
    </row>
    <row r="12" spans="1:8" x14ac:dyDescent="0.2">
      <c r="A12" s="8"/>
      <c r="B12" s="183"/>
      <c r="C12" s="47">
        <v>90</v>
      </c>
      <c r="D12" s="18">
        <v>95</v>
      </c>
      <c r="E12" s="28">
        <f>0.05*AsphaltBinderBase</f>
        <v>36.856500000000004</v>
      </c>
      <c r="F12" s="28">
        <f>0.1*AsphaltBinderBase-0.01</f>
        <v>73.703000000000003</v>
      </c>
      <c r="G12" s="64">
        <f>-0.9*AsphaltBinderBase</f>
        <v>-663.41700000000003</v>
      </c>
      <c r="H12" s="8"/>
    </row>
    <row r="13" spans="1:8" x14ac:dyDescent="0.2">
      <c r="A13" s="8"/>
      <c r="B13" s="183"/>
      <c r="C13" s="47">
        <v>85</v>
      </c>
      <c r="D13" s="18">
        <v>90</v>
      </c>
      <c r="E13" s="28">
        <f>0.1*AsphaltBinderBase</f>
        <v>73.713000000000008</v>
      </c>
      <c r="F13" s="28">
        <f>0.15*AsphaltBinderBase-0.01</f>
        <v>110.55949999999999</v>
      </c>
      <c r="G13" s="64">
        <f>-0.85*AsphaltBinderBase</f>
        <v>-626.56049999999993</v>
      </c>
      <c r="H13" s="8"/>
    </row>
    <row r="14" spans="1:8" x14ac:dyDescent="0.2">
      <c r="A14" s="8"/>
      <c r="B14" s="183"/>
      <c r="C14" s="47">
        <v>80</v>
      </c>
      <c r="D14" s="18">
        <v>85</v>
      </c>
      <c r="E14" s="28">
        <f>0.15*AsphaltBinderBase</f>
        <v>110.56949999999999</v>
      </c>
      <c r="F14" s="28">
        <f>0.2*AsphaltBinderBase-0.01</f>
        <v>147.41600000000003</v>
      </c>
      <c r="G14" s="64">
        <f>-0.8*AsphaltBinderBase</f>
        <v>-589.70400000000006</v>
      </c>
      <c r="H14" s="8"/>
    </row>
    <row r="15" spans="1:8" x14ac:dyDescent="0.2">
      <c r="A15" s="8"/>
      <c r="B15" s="183"/>
      <c r="C15" s="47">
        <v>75</v>
      </c>
      <c r="D15" s="18">
        <v>80</v>
      </c>
      <c r="E15" s="28">
        <f>0.2*AsphaltBinderBase</f>
        <v>147.42600000000002</v>
      </c>
      <c r="F15" s="28">
        <f>0.25*AsphaltBinderBase-0.01</f>
        <v>184.27250000000001</v>
      </c>
      <c r="G15" s="64">
        <f>-0.75*AsphaltBinderBase</f>
        <v>-552.84749999999997</v>
      </c>
      <c r="H15" s="8"/>
    </row>
    <row r="16" spans="1:8" x14ac:dyDescent="0.2">
      <c r="A16" s="8"/>
      <c r="B16" s="183"/>
      <c r="C16" s="47">
        <v>70</v>
      </c>
      <c r="D16" s="18">
        <v>75</v>
      </c>
      <c r="E16" s="28">
        <f>0.25*AsphaltBinderBase</f>
        <v>184.2825</v>
      </c>
      <c r="F16" s="28">
        <f>0.3*AsphaltBinderBase-0.01</f>
        <v>221.12899999999999</v>
      </c>
      <c r="G16" s="64">
        <f>-0.7*AsphaltBinderBase</f>
        <v>-515.99099999999999</v>
      </c>
      <c r="H16" s="8"/>
    </row>
    <row r="17" spans="1:8" x14ac:dyDescent="0.2">
      <c r="A17" s="8"/>
      <c r="B17" s="183"/>
      <c r="C17" s="47">
        <v>65</v>
      </c>
      <c r="D17" s="18">
        <v>70</v>
      </c>
      <c r="E17" s="28">
        <f>0.3*AsphaltBinderBase</f>
        <v>221.13899999999998</v>
      </c>
      <c r="F17" s="28">
        <f>0.35*AsphaltBinderBase-0.01</f>
        <v>257.9855</v>
      </c>
      <c r="G17" s="64">
        <f>-0.65*AsphaltBinderBase</f>
        <v>-479.1345</v>
      </c>
      <c r="H17" s="8"/>
    </row>
    <row r="18" spans="1:8" x14ac:dyDescent="0.2">
      <c r="A18" s="8"/>
      <c r="B18" s="183"/>
      <c r="C18" s="47">
        <v>60</v>
      </c>
      <c r="D18" s="18">
        <v>65</v>
      </c>
      <c r="E18" s="28">
        <f>0.35*AsphaltBinderBase</f>
        <v>257.99549999999999</v>
      </c>
      <c r="F18" s="28">
        <f>0.4*AsphaltBinderBase-0.01</f>
        <v>294.84200000000004</v>
      </c>
      <c r="G18" s="64">
        <f>-0.6*AsphaltBinderBase</f>
        <v>-442.27799999999996</v>
      </c>
      <c r="H18" s="8"/>
    </row>
    <row r="19" spans="1:8" x14ac:dyDescent="0.2">
      <c r="A19" s="8"/>
      <c r="B19" s="183"/>
      <c r="C19" s="47">
        <v>55</v>
      </c>
      <c r="D19" s="18">
        <v>60</v>
      </c>
      <c r="E19" s="28">
        <f>0.4*AsphaltBinderBase</f>
        <v>294.85200000000003</v>
      </c>
      <c r="F19" s="28">
        <f>0.45*AsphaltBinderBase-0.01</f>
        <v>331.69850000000002</v>
      </c>
      <c r="G19" s="64">
        <f>-0.55*AsphaltBinderBase</f>
        <v>-405.42150000000004</v>
      </c>
      <c r="H19" s="8"/>
    </row>
    <row r="20" spans="1:8" x14ac:dyDescent="0.2">
      <c r="A20" s="8"/>
      <c r="B20" s="183"/>
      <c r="C20" s="47">
        <v>50</v>
      </c>
      <c r="D20" s="18">
        <v>55</v>
      </c>
      <c r="E20" s="28">
        <f>0.45*AsphaltBinderBase</f>
        <v>331.70850000000002</v>
      </c>
      <c r="F20" s="28">
        <f>0.5*AsphaltBinderBase-0.01</f>
        <v>368.55500000000001</v>
      </c>
      <c r="G20" s="64">
        <f>-0.5*AsphaltBinderBase</f>
        <v>-368.565</v>
      </c>
      <c r="H20" s="8"/>
    </row>
    <row r="21" spans="1:8" x14ac:dyDescent="0.2">
      <c r="A21" s="8"/>
      <c r="B21" s="183"/>
      <c r="C21" s="47">
        <v>45</v>
      </c>
      <c r="D21" s="18">
        <v>50</v>
      </c>
      <c r="E21" s="28">
        <f>0.5*AsphaltBinderBase</f>
        <v>368.565</v>
      </c>
      <c r="F21" s="28">
        <f>0.55*AsphaltBinderBase-0.01</f>
        <v>405.41150000000005</v>
      </c>
      <c r="G21" s="64">
        <f>-0.45*AsphaltBinderBase</f>
        <v>-331.70850000000002</v>
      </c>
      <c r="H21" s="8"/>
    </row>
    <row r="22" spans="1:8" x14ac:dyDescent="0.2">
      <c r="A22" s="8"/>
      <c r="B22" s="183"/>
      <c r="C22" s="47">
        <v>40</v>
      </c>
      <c r="D22" s="18">
        <v>45</v>
      </c>
      <c r="E22" s="28">
        <f>0.55*AsphaltBinderBase</f>
        <v>405.42150000000004</v>
      </c>
      <c r="F22" s="28">
        <f>0.6*AsphaltBinderBase-0.01</f>
        <v>442.26799999999997</v>
      </c>
      <c r="G22" s="64">
        <f>-0.4*AsphaltBinderBase</f>
        <v>-294.85200000000003</v>
      </c>
      <c r="H22" s="8"/>
    </row>
    <row r="23" spans="1:8" x14ac:dyDescent="0.2">
      <c r="A23" s="8"/>
      <c r="B23" s="183"/>
      <c r="C23" s="47">
        <v>35</v>
      </c>
      <c r="D23" s="18">
        <v>40</v>
      </c>
      <c r="E23" s="28">
        <f>0.6*AsphaltBinderBase</f>
        <v>442.27799999999996</v>
      </c>
      <c r="F23" s="28">
        <f>0.65*AsphaltBinderBase-0.01</f>
        <v>479.12450000000001</v>
      </c>
      <c r="G23" s="64">
        <f>-0.35*AsphaltBinderBase</f>
        <v>-257.99549999999999</v>
      </c>
      <c r="H23" s="8"/>
    </row>
    <row r="24" spans="1:8" x14ac:dyDescent="0.2">
      <c r="A24" s="8"/>
      <c r="B24" s="183"/>
      <c r="C24" s="47">
        <v>30</v>
      </c>
      <c r="D24" s="18">
        <v>35</v>
      </c>
      <c r="E24" s="28">
        <f>0.65*AsphaltBinderBase</f>
        <v>479.1345</v>
      </c>
      <c r="F24" s="28">
        <f>0.7*AsphaltBinderBase-0.01</f>
        <v>515.98099999999999</v>
      </c>
      <c r="G24" s="64">
        <f>-0.3*AsphaltBinderBase</f>
        <v>-221.13899999999998</v>
      </c>
      <c r="H24" s="8"/>
    </row>
    <row r="25" spans="1:8" x14ac:dyDescent="0.2">
      <c r="A25" s="8"/>
      <c r="B25" s="183"/>
      <c r="C25" s="47">
        <v>25</v>
      </c>
      <c r="D25" s="18">
        <v>30</v>
      </c>
      <c r="E25" s="28">
        <f>0.7*AsphaltBinderBase</f>
        <v>515.99099999999999</v>
      </c>
      <c r="F25" s="28">
        <f>0.75*AsphaltBinderBase-0.01</f>
        <v>552.83749999999998</v>
      </c>
      <c r="G25" s="64">
        <f>-0.25*AsphaltBinderBase</f>
        <v>-184.2825</v>
      </c>
      <c r="H25" s="8"/>
    </row>
    <row r="26" spans="1:8" x14ac:dyDescent="0.2">
      <c r="A26" s="8"/>
      <c r="B26" s="183"/>
      <c r="C26" s="47">
        <v>20</v>
      </c>
      <c r="D26" s="18">
        <v>25</v>
      </c>
      <c r="E26" s="28">
        <f>0.75*AsphaltBinderBase</f>
        <v>552.84749999999997</v>
      </c>
      <c r="F26" s="28">
        <f>0.8*AsphaltBinderBase-0.01</f>
        <v>589.69400000000007</v>
      </c>
      <c r="G26" s="64">
        <f>-0.2*AsphaltBinderBase</f>
        <v>-147.42600000000002</v>
      </c>
      <c r="H26" s="8"/>
    </row>
    <row r="27" spans="1:8" x14ac:dyDescent="0.2">
      <c r="A27" s="8"/>
      <c r="B27" s="183"/>
      <c r="C27" s="47">
        <v>15</v>
      </c>
      <c r="D27" s="18">
        <v>20</v>
      </c>
      <c r="E27" s="28">
        <f>0.8*AsphaltBinderBase</f>
        <v>589.70400000000006</v>
      </c>
      <c r="F27" s="28">
        <f>0.85*AsphaltBinderBase-0.01</f>
        <v>626.55049999999994</v>
      </c>
      <c r="G27" s="64">
        <f>-0.15*AsphaltBinderBase</f>
        <v>-110.56949999999999</v>
      </c>
      <c r="H27" s="8"/>
    </row>
    <row r="28" spans="1:8" x14ac:dyDescent="0.2">
      <c r="A28" s="8"/>
      <c r="B28" s="183"/>
      <c r="C28" s="47">
        <v>10</v>
      </c>
      <c r="D28" s="18">
        <v>15</v>
      </c>
      <c r="E28" s="28">
        <f>0.85*AsphaltBinderBase</f>
        <v>626.56049999999993</v>
      </c>
      <c r="F28" s="28">
        <f>0.9*AsphaltBinderBase-0.01</f>
        <v>663.40700000000004</v>
      </c>
      <c r="G28" s="64">
        <f>-0.1*AsphaltBinderBase</f>
        <v>-73.713000000000008</v>
      </c>
      <c r="H28" s="8"/>
    </row>
    <row r="29" spans="1:8" x14ac:dyDescent="0.2">
      <c r="A29" s="8"/>
      <c r="B29" s="183"/>
      <c r="C29" s="47">
        <v>5</v>
      </c>
      <c r="D29" s="18">
        <v>10</v>
      </c>
      <c r="E29" s="28">
        <f>0.9*AsphaltBinderBase</f>
        <v>663.41700000000003</v>
      </c>
      <c r="F29" s="28">
        <f>0.95*AsphaltBinderBase-0.01</f>
        <v>700.26350000000002</v>
      </c>
      <c r="G29" s="64">
        <f>-0.05*AsphaltBinderBase</f>
        <v>-36.856500000000004</v>
      </c>
      <c r="H29" s="8"/>
    </row>
    <row r="30" spans="1:8" x14ac:dyDescent="0.2">
      <c r="A30" s="8"/>
      <c r="B30" s="184"/>
      <c r="C30" s="54">
        <v>0</v>
      </c>
      <c r="D30" s="53">
        <v>5</v>
      </c>
      <c r="E30" s="56">
        <f>0.95*AsphaltBinderBase</f>
        <v>700.27350000000001</v>
      </c>
      <c r="F30" s="56">
        <f>1*AsphaltBinderBase-0.01</f>
        <v>737.12</v>
      </c>
      <c r="G30" s="66">
        <f>0*AsphaltBinderBase</f>
        <v>0</v>
      </c>
      <c r="H30" s="8"/>
    </row>
    <row r="31" spans="1:8" x14ac:dyDescent="0.2">
      <c r="A31" s="8"/>
      <c r="B31" s="178" t="s">
        <v>41</v>
      </c>
      <c r="C31" s="59">
        <v>0</v>
      </c>
      <c r="D31" s="42">
        <v>5</v>
      </c>
      <c r="E31" s="60">
        <f>1*AsphaltBinderBase</f>
        <v>737.13</v>
      </c>
      <c r="F31" s="60">
        <f>1.05*AsphaltBinderBase</f>
        <v>773.98649999999998</v>
      </c>
      <c r="G31" s="62">
        <f>0*AsphaltBinderBase</f>
        <v>0</v>
      </c>
      <c r="H31" s="8"/>
    </row>
    <row r="32" spans="1:8" x14ac:dyDescent="0.2">
      <c r="A32" s="8"/>
      <c r="B32" s="179"/>
      <c r="C32" s="61">
        <v>5</v>
      </c>
      <c r="D32" s="18">
        <v>10</v>
      </c>
      <c r="E32" s="28">
        <f>1.05*AsphaltBinderBase+0.01</f>
        <v>773.99649999999997</v>
      </c>
      <c r="F32" s="28">
        <f>1.1*AsphaltBinderBase</f>
        <v>810.84300000000007</v>
      </c>
      <c r="G32" s="63">
        <f>0.05*AsphaltBinderBase</f>
        <v>36.856500000000004</v>
      </c>
      <c r="H32" s="8"/>
    </row>
    <row r="33" spans="1:8" x14ac:dyDescent="0.2">
      <c r="A33" s="8"/>
      <c r="B33" s="179"/>
      <c r="C33" s="61">
        <v>10</v>
      </c>
      <c r="D33" s="18">
        <v>15</v>
      </c>
      <c r="E33" s="28">
        <f>1.1*AsphaltBinderBase+0.01</f>
        <v>810.85300000000007</v>
      </c>
      <c r="F33" s="28">
        <f>1.15*AsphaltBinderBase</f>
        <v>847.69949999999994</v>
      </c>
      <c r="G33" s="64">
        <f>0.1*AsphaltBinderBase</f>
        <v>73.713000000000008</v>
      </c>
      <c r="H33" s="8"/>
    </row>
    <row r="34" spans="1:8" x14ac:dyDescent="0.2">
      <c r="A34" s="8"/>
      <c r="B34" s="179"/>
      <c r="C34" s="61">
        <v>15</v>
      </c>
      <c r="D34" s="18">
        <v>20</v>
      </c>
      <c r="E34" s="28">
        <f>1.15*AsphaltBinderBase+0.01</f>
        <v>847.70949999999993</v>
      </c>
      <c r="F34" s="28">
        <f>1.2*AsphaltBinderBase</f>
        <v>884.55599999999993</v>
      </c>
      <c r="G34" s="63">
        <f>0.15*AsphaltBinderBase</f>
        <v>110.56949999999999</v>
      </c>
      <c r="H34" s="8"/>
    </row>
    <row r="35" spans="1:8" x14ac:dyDescent="0.2">
      <c r="A35" s="8"/>
      <c r="B35" s="179"/>
      <c r="C35" s="61">
        <v>20</v>
      </c>
      <c r="D35" s="18">
        <v>25</v>
      </c>
      <c r="E35" s="28">
        <f>1.2*AsphaltBinderBase+0.01</f>
        <v>884.56599999999992</v>
      </c>
      <c r="F35" s="28">
        <f>1.25*AsphaltBinderBase</f>
        <v>921.41250000000002</v>
      </c>
      <c r="G35" s="64">
        <f>0.2*AsphaltBinderBase</f>
        <v>147.42600000000002</v>
      </c>
      <c r="H35" s="8"/>
    </row>
    <row r="36" spans="1:8" x14ac:dyDescent="0.2">
      <c r="A36" s="8"/>
      <c r="B36" s="179"/>
      <c r="C36" s="61">
        <v>25</v>
      </c>
      <c r="D36" s="18">
        <v>30</v>
      </c>
      <c r="E36" s="28">
        <f>1.25*AsphaltBinderBase+0.01</f>
        <v>921.42250000000001</v>
      </c>
      <c r="F36" s="28">
        <f>1.3*AsphaltBinderBase</f>
        <v>958.26900000000001</v>
      </c>
      <c r="G36" s="63">
        <f>0.25*AsphaltBinderBase</f>
        <v>184.2825</v>
      </c>
      <c r="H36" s="8"/>
    </row>
    <row r="37" spans="1:8" x14ac:dyDescent="0.2">
      <c r="A37" s="8"/>
      <c r="B37" s="179"/>
      <c r="C37" s="61">
        <v>30</v>
      </c>
      <c r="D37" s="18">
        <v>35</v>
      </c>
      <c r="E37" s="28">
        <f>1.3*AsphaltBinderBase+0.01</f>
        <v>958.279</v>
      </c>
      <c r="F37" s="28">
        <f>1.35*AsphaltBinderBase</f>
        <v>995.1255000000001</v>
      </c>
      <c r="G37" s="64">
        <f>0.3*AsphaltBinderBase</f>
        <v>221.13899999999998</v>
      </c>
      <c r="H37" s="8"/>
    </row>
    <row r="38" spans="1:8" x14ac:dyDescent="0.2">
      <c r="A38" s="8"/>
      <c r="B38" s="179"/>
      <c r="C38" s="61">
        <v>35</v>
      </c>
      <c r="D38" s="18">
        <v>40</v>
      </c>
      <c r="E38" s="28">
        <f>1.35*AsphaltBinderBase+0.01</f>
        <v>995.13550000000009</v>
      </c>
      <c r="F38" s="28">
        <f>1.4*AsphaltBinderBase</f>
        <v>1031.982</v>
      </c>
      <c r="G38" s="63">
        <f>0.35*AsphaltBinderBase</f>
        <v>257.99549999999999</v>
      </c>
      <c r="H38" s="8"/>
    </row>
    <row r="39" spans="1:8" x14ac:dyDescent="0.2">
      <c r="A39" s="8"/>
      <c r="B39" s="179"/>
      <c r="C39" s="61">
        <v>40</v>
      </c>
      <c r="D39" s="18">
        <v>45</v>
      </c>
      <c r="E39" s="28">
        <f>1.4*AsphaltBinderBase+0.01</f>
        <v>1031.992</v>
      </c>
      <c r="F39" s="28">
        <f>1.45*AsphaltBinderBase</f>
        <v>1068.8385000000001</v>
      </c>
      <c r="G39" s="64">
        <f>0.4*AsphaltBinderBase</f>
        <v>294.85200000000003</v>
      </c>
      <c r="H39" s="8"/>
    </row>
    <row r="40" spans="1:8" x14ac:dyDescent="0.2">
      <c r="A40" s="8"/>
      <c r="B40" s="179"/>
      <c r="C40" s="61">
        <v>45</v>
      </c>
      <c r="D40" s="18">
        <v>50</v>
      </c>
      <c r="E40" s="28">
        <f>1.45*AsphaltBinderBase+0.01</f>
        <v>1068.8485000000001</v>
      </c>
      <c r="F40" s="28">
        <f>1.5*AsphaltBinderBase</f>
        <v>1105.6949999999999</v>
      </c>
      <c r="G40" s="63">
        <f>0.45*AsphaltBinderBase</f>
        <v>331.70850000000002</v>
      </c>
      <c r="H40" s="8"/>
    </row>
    <row r="41" spans="1:8" x14ac:dyDescent="0.2">
      <c r="A41" s="8"/>
      <c r="B41" s="179"/>
      <c r="C41" s="61">
        <v>50</v>
      </c>
      <c r="D41" s="18">
        <v>55</v>
      </c>
      <c r="E41" s="28">
        <f>1.5*AsphaltBinderBase+0.01</f>
        <v>1105.7049999999999</v>
      </c>
      <c r="F41" s="28">
        <f>1.55*AsphaltBinderBase</f>
        <v>1142.5515</v>
      </c>
      <c r="G41" s="64">
        <f>0.5*AsphaltBinderBase</f>
        <v>368.565</v>
      </c>
      <c r="H41" s="8"/>
    </row>
    <row r="42" spans="1:8" x14ac:dyDescent="0.2">
      <c r="A42" s="8"/>
      <c r="B42" s="179"/>
      <c r="C42" s="61">
        <v>55</v>
      </c>
      <c r="D42" s="18">
        <v>60</v>
      </c>
      <c r="E42" s="28">
        <f>1.55*AsphaltBinderBase+0.01</f>
        <v>1142.5615</v>
      </c>
      <c r="F42" s="28">
        <f>1.6*AsphaltBinderBase</f>
        <v>1179.4080000000001</v>
      </c>
      <c r="G42" s="63">
        <f>0.55*AsphaltBinderBase</f>
        <v>405.42150000000004</v>
      </c>
      <c r="H42" s="8"/>
    </row>
    <row r="43" spans="1:8" x14ac:dyDescent="0.2">
      <c r="A43" s="8"/>
      <c r="B43" s="179"/>
      <c r="C43" s="61">
        <v>60</v>
      </c>
      <c r="D43" s="18">
        <v>65</v>
      </c>
      <c r="E43" s="28">
        <f>1.6*AsphaltBinderBase+0.01</f>
        <v>1179.4180000000001</v>
      </c>
      <c r="F43" s="28">
        <f>1.65*AsphaltBinderBase</f>
        <v>1216.2645</v>
      </c>
      <c r="G43" s="64">
        <f>0.6*AsphaltBinderBase</f>
        <v>442.27799999999996</v>
      </c>
      <c r="H43" s="8"/>
    </row>
    <row r="44" spans="1:8" x14ac:dyDescent="0.2">
      <c r="A44" s="8"/>
      <c r="B44" s="179"/>
      <c r="C44" s="61">
        <v>65</v>
      </c>
      <c r="D44" s="18">
        <v>70</v>
      </c>
      <c r="E44" s="28">
        <f>1.65*AsphaltBinderBase+0.01</f>
        <v>1216.2745</v>
      </c>
      <c r="F44" s="28">
        <f>1.7*AsphaltBinderBase</f>
        <v>1253.1209999999999</v>
      </c>
      <c r="G44" s="63">
        <f>0.65*AsphaltBinderBase</f>
        <v>479.1345</v>
      </c>
      <c r="H44" s="8"/>
    </row>
    <row r="45" spans="1:8" x14ac:dyDescent="0.2">
      <c r="A45" s="8"/>
      <c r="B45" s="179"/>
      <c r="C45" s="61">
        <v>70</v>
      </c>
      <c r="D45" s="18">
        <v>75</v>
      </c>
      <c r="E45" s="28">
        <f>1.7*AsphaltBinderBase+0.01</f>
        <v>1253.1309999999999</v>
      </c>
      <c r="F45" s="28">
        <f>1.75*AsphaltBinderBase</f>
        <v>1289.9775</v>
      </c>
      <c r="G45" s="64">
        <f>0.7*AsphaltBinderBase</f>
        <v>515.99099999999999</v>
      </c>
      <c r="H45" s="8"/>
    </row>
    <row r="46" spans="1:8" x14ac:dyDescent="0.2">
      <c r="A46" s="8"/>
      <c r="B46" s="179"/>
      <c r="C46" s="61">
        <v>75</v>
      </c>
      <c r="D46" s="18">
        <v>80</v>
      </c>
      <c r="E46" s="28">
        <f>1.75*AsphaltBinderBase+0.01</f>
        <v>1289.9875</v>
      </c>
      <c r="F46" s="28">
        <f>1.8*AsphaltBinderBase</f>
        <v>1326.8340000000001</v>
      </c>
      <c r="G46" s="63">
        <f>0.75*AsphaltBinderBase</f>
        <v>552.84749999999997</v>
      </c>
      <c r="H46" s="8"/>
    </row>
    <row r="47" spans="1:8" x14ac:dyDescent="0.2">
      <c r="A47" s="8"/>
      <c r="B47" s="179"/>
      <c r="C47" s="61">
        <v>80</v>
      </c>
      <c r="D47" s="18">
        <v>85</v>
      </c>
      <c r="E47" s="28">
        <f>1.8*AsphaltBinderBase+0.01</f>
        <v>1326.8440000000001</v>
      </c>
      <c r="F47" s="28">
        <f>1.85*AsphaltBinderBase</f>
        <v>1363.6905000000002</v>
      </c>
      <c r="G47" s="64">
        <f>0.8*AsphaltBinderBase</f>
        <v>589.70400000000006</v>
      </c>
      <c r="H47" s="8"/>
    </row>
    <row r="48" spans="1:8" x14ac:dyDescent="0.2">
      <c r="A48" s="8"/>
      <c r="B48" s="179"/>
      <c r="C48" s="61">
        <v>85</v>
      </c>
      <c r="D48" s="18">
        <v>90</v>
      </c>
      <c r="E48" s="28">
        <f>1.85*AsphaltBinderBase+0.01</f>
        <v>1363.7005000000001</v>
      </c>
      <c r="F48" s="28">
        <f>1.9*AsphaltBinderBase</f>
        <v>1400.547</v>
      </c>
      <c r="G48" s="63">
        <f>0.85*AsphaltBinderBase</f>
        <v>626.56049999999993</v>
      </c>
      <c r="H48" s="8"/>
    </row>
    <row r="49" spans="1:8" x14ac:dyDescent="0.2">
      <c r="A49" s="8"/>
      <c r="B49" s="179"/>
      <c r="C49" s="61">
        <v>90</v>
      </c>
      <c r="D49" s="18">
        <v>95</v>
      </c>
      <c r="E49" s="28">
        <f>1.9*AsphaltBinderBase+0.01</f>
        <v>1400.557</v>
      </c>
      <c r="F49" s="28">
        <f>1.95*AsphaltBinderBase</f>
        <v>1437.4034999999999</v>
      </c>
      <c r="G49" s="64">
        <f>0.9*AsphaltBinderBase</f>
        <v>663.41700000000003</v>
      </c>
      <c r="H49" s="8"/>
    </row>
    <row r="50" spans="1:8" x14ac:dyDescent="0.2">
      <c r="A50" s="8"/>
      <c r="B50" s="179"/>
      <c r="C50" s="61">
        <v>95</v>
      </c>
      <c r="D50" s="18">
        <v>100</v>
      </c>
      <c r="E50" s="28">
        <f>1.95*AsphaltBinderBase+0.01</f>
        <v>1437.4134999999999</v>
      </c>
      <c r="F50" s="28">
        <f>2*AsphaltBinderBase</f>
        <v>1474.26</v>
      </c>
      <c r="G50" s="63">
        <f>0.95*AsphaltBinderBase</f>
        <v>700.27350000000001</v>
      </c>
      <c r="H50" s="8"/>
    </row>
    <row r="51" spans="1:8" x14ac:dyDescent="0.2">
      <c r="A51" s="8"/>
      <c r="B51" s="179"/>
      <c r="C51" s="61">
        <v>100</v>
      </c>
      <c r="D51" s="18">
        <v>105</v>
      </c>
      <c r="E51" s="28">
        <f>2*AsphaltBinderBase+0.01</f>
        <v>1474.27</v>
      </c>
      <c r="F51" s="28">
        <f>2.05*AsphaltBinderBase</f>
        <v>1511.1164999999999</v>
      </c>
      <c r="G51" s="64">
        <f>1*AsphaltBinderBase</f>
        <v>737.13</v>
      </c>
      <c r="H51" s="8"/>
    </row>
    <row r="52" spans="1:8" x14ac:dyDescent="0.2">
      <c r="A52" s="8"/>
      <c r="B52" s="179"/>
      <c r="C52" s="61">
        <v>105</v>
      </c>
      <c r="D52" s="18">
        <v>110</v>
      </c>
      <c r="E52" s="28">
        <f>2.05*AsphaltBinderBase+0.01</f>
        <v>1511.1264999999999</v>
      </c>
      <c r="F52" s="28">
        <f>2.1*AsphaltBinderBase</f>
        <v>1547.973</v>
      </c>
      <c r="G52" s="63">
        <f>1.05*AsphaltBinderBase</f>
        <v>773.98649999999998</v>
      </c>
      <c r="H52" s="8"/>
    </row>
    <row r="53" spans="1:8" x14ac:dyDescent="0.2">
      <c r="A53" s="8"/>
      <c r="B53" s="179"/>
      <c r="C53" s="61">
        <v>110</v>
      </c>
      <c r="D53" s="18">
        <v>115</v>
      </c>
      <c r="E53" s="28">
        <f>2.1*AsphaltBinderBase+0.01</f>
        <v>1547.9829999999999</v>
      </c>
      <c r="F53" s="28">
        <f>2.15*AsphaltBinderBase</f>
        <v>1584.8294999999998</v>
      </c>
      <c r="G53" s="64">
        <f>1.1*AsphaltBinderBase</f>
        <v>810.84300000000007</v>
      </c>
      <c r="H53" s="8"/>
    </row>
    <row r="54" spans="1:8" x14ac:dyDescent="0.2">
      <c r="A54" s="8"/>
      <c r="B54" s="179"/>
      <c r="C54" s="61">
        <v>115</v>
      </c>
      <c r="D54" s="18">
        <v>120</v>
      </c>
      <c r="E54" s="28">
        <f>2.15*AsphaltBinderBase+0.01</f>
        <v>1584.8394999999998</v>
      </c>
      <c r="F54" s="28">
        <f>2.2*AsphaltBinderBase</f>
        <v>1621.6860000000001</v>
      </c>
      <c r="G54" s="63">
        <f>1.15*AsphaltBinderBase</f>
        <v>847.69949999999994</v>
      </c>
      <c r="H54" s="8"/>
    </row>
    <row r="55" spans="1:8" x14ac:dyDescent="0.2">
      <c r="A55" s="8"/>
      <c r="B55" s="179"/>
      <c r="C55" s="61">
        <v>120</v>
      </c>
      <c r="D55" s="18">
        <v>125</v>
      </c>
      <c r="E55" s="28">
        <f>2.2*AsphaltBinderBase+0.01</f>
        <v>1621.6960000000001</v>
      </c>
      <c r="F55" s="28">
        <f>2.25*AsphaltBinderBase</f>
        <v>1658.5425</v>
      </c>
      <c r="G55" s="64">
        <f>1.2*AsphaltBinderBase</f>
        <v>884.55599999999993</v>
      </c>
      <c r="H55" s="8"/>
    </row>
    <row r="56" spans="1:8" x14ac:dyDescent="0.2">
      <c r="A56" s="8"/>
      <c r="B56" s="179"/>
      <c r="C56" s="61">
        <v>125</v>
      </c>
      <c r="D56" s="18">
        <v>130</v>
      </c>
      <c r="E56" s="28">
        <f>2.25*AsphaltBinderBase+0.01</f>
        <v>1658.5525</v>
      </c>
      <c r="F56" s="28">
        <f>2.3*AsphaltBinderBase</f>
        <v>1695.3989999999999</v>
      </c>
      <c r="G56" s="63">
        <f>1.25*AsphaltBinderBase</f>
        <v>921.41250000000002</v>
      </c>
      <c r="H56" s="8"/>
    </row>
    <row r="57" spans="1:8" x14ac:dyDescent="0.2">
      <c r="A57" s="8"/>
      <c r="B57" s="179"/>
      <c r="C57" s="61">
        <v>130</v>
      </c>
      <c r="D57" s="18">
        <v>135</v>
      </c>
      <c r="E57" s="28">
        <f>2.3*AsphaltBinderBase+0.01</f>
        <v>1695.4089999999999</v>
      </c>
      <c r="F57" s="28">
        <f>2.35*AsphaltBinderBase</f>
        <v>1732.2555</v>
      </c>
      <c r="G57" s="64">
        <f>1.3*AsphaltBinderBase</f>
        <v>958.26900000000001</v>
      </c>
      <c r="H57" s="8"/>
    </row>
    <row r="58" spans="1:8" x14ac:dyDescent="0.2">
      <c r="A58" s="8"/>
      <c r="B58" s="179"/>
      <c r="C58" s="61">
        <v>135</v>
      </c>
      <c r="D58" s="18">
        <v>140</v>
      </c>
      <c r="E58" s="28">
        <f>2.35*AsphaltBinderBase+0.01</f>
        <v>1732.2655</v>
      </c>
      <c r="F58" s="28">
        <f>2.4*AsphaltBinderBase</f>
        <v>1769.1119999999999</v>
      </c>
      <c r="G58" s="63">
        <f>1.35*AsphaltBinderBase</f>
        <v>995.1255000000001</v>
      </c>
      <c r="H58" s="8"/>
    </row>
    <row r="59" spans="1:8" x14ac:dyDescent="0.2">
      <c r="A59" s="8"/>
      <c r="B59" s="179"/>
      <c r="C59" s="61">
        <v>140</v>
      </c>
      <c r="D59" s="18">
        <v>145</v>
      </c>
      <c r="E59" s="28">
        <f>2.4*AsphaltBinderBase+0.01</f>
        <v>1769.1219999999998</v>
      </c>
      <c r="F59" s="28">
        <f>2.45*AsphaltBinderBase</f>
        <v>1805.9685000000002</v>
      </c>
      <c r="G59" s="64">
        <f>1.4*AsphaltBinderBase</f>
        <v>1031.982</v>
      </c>
      <c r="H59" s="8"/>
    </row>
    <row r="60" spans="1:8" x14ac:dyDescent="0.2">
      <c r="A60" s="8"/>
      <c r="B60" s="179"/>
      <c r="C60" s="61">
        <v>145</v>
      </c>
      <c r="D60" s="18">
        <v>150</v>
      </c>
      <c r="E60" s="28">
        <f>2.45*AsphaltBinderBase+0.01</f>
        <v>1805.9785000000002</v>
      </c>
      <c r="F60" s="28">
        <f>2.5*AsphaltBinderBase</f>
        <v>1842.825</v>
      </c>
      <c r="G60" s="63">
        <f>1.45*AsphaltBinderBase</f>
        <v>1068.8385000000001</v>
      </c>
      <c r="H60" s="8"/>
    </row>
    <row r="61" spans="1:8" x14ac:dyDescent="0.2">
      <c r="A61" s="8"/>
      <c r="B61" s="179"/>
      <c r="C61" s="61">
        <v>150</v>
      </c>
      <c r="D61" s="18">
        <v>155</v>
      </c>
      <c r="E61" s="28">
        <f>2.5*AsphaltBinderBase+0.01</f>
        <v>1842.835</v>
      </c>
      <c r="F61" s="28">
        <f>2.55*AsphaltBinderBase</f>
        <v>1879.6814999999999</v>
      </c>
      <c r="G61" s="64">
        <f>1.5*AsphaltBinderBase</f>
        <v>1105.6949999999999</v>
      </c>
      <c r="H61" s="8"/>
    </row>
    <row r="62" spans="1:8" x14ac:dyDescent="0.2">
      <c r="A62" s="8"/>
      <c r="B62" s="179"/>
      <c r="C62" s="61">
        <v>155</v>
      </c>
      <c r="D62" s="18">
        <v>160</v>
      </c>
      <c r="E62" s="28">
        <f>2.55*AsphaltBinderBase+0.01</f>
        <v>1879.6914999999999</v>
      </c>
      <c r="F62" s="28">
        <f>2.6*AsphaltBinderBase</f>
        <v>1916.538</v>
      </c>
      <c r="G62" s="63">
        <f>1.55*AsphaltBinderBase</f>
        <v>1142.5515</v>
      </c>
      <c r="H62" s="8"/>
    </row>
    <row r="63" spans="1:8" x14ac:dyDescent="0.2">
      <c r="A63" s="8"/>
      <c r="B63" s="179"/>
      <c r="C63" s="61">
        <v>160</v>
      </c>
      <c r="D63" s="18">
        <v>165</v>
      </c>
      <c r="E63" s="28">
        <f>2.6*AsphaltBinderBase+0.01</f>
        <v>1916.548</v>
      </c>
      <c r="F63" s="28">
        <f>2.65*AsphaltBinderBase</f>
        <v>1953.3944999999999</v>
      </c>
      <c r="G63" s="64">
        <f>1.6*AsphaltBinderBase</f>
        <v>1179.4080000000001</v>
      </c>
      <c r="H63" s="8"/>
    </row>
    <row r="64" spans="1:8" x14ac:dyDescent="0.2">
      <c r="A64" s="8"/>
      <c r="B64" s="179"/>
      <c r="C64" s="61">
        <v>165</v>
      </c>
      <c r="D64" s="18">
        <v>170</v>
      </c>
      <c r="E64" s="28">
        <f>2.65*AsphaltBinderBase+0.01</f>
        <v>1953.4044999999999</v>
      </c>
      <c r="F64" s="28">
        <f>2.7*AsphaltBinderBase</f>
        <v>1990.2510000000002</v>
      </c>
      <c r="G64" s="63">
        <f>1.65*AsphaltBinderBase</f>
        <v>1216.2645</v>
      </c>
      <c r="H64" s="8"/>
    </row>
    <row r="65" spans="1:8" x14ac:dyDescent="0.2">
      <c r="A65" s="8"/>
      <c r="B65" s="179"/>
      <c r="C65" s="61">
        <v>170</v>
      </c>
      <c r="D65" s="18">
        <v>175</v>
      </c>
      <c r="E65" s="28">
        <f>2.7*AsphaltBinderBase+0.01</f>
        <v>1990.2610000000002</v>
      </c>
      <c r="F65" s="28">
        <f>2.75*AsphaltBinderBase</f>
        <v>2027.1075000000001</v>
      </c>
      <c r="G65" s="64">
        <f>1.7*AsphaltBinderBase</f>
        <v>1253.1209999999999</v>
      </c>
      <c r="H65" s="8"/>
    </row>
    <row r="66" spans="1:8" x14ac:dyDescent="0.2">
      <c r="A66" s="8"/>
      <c r="B66" s="179"/>
      <c r="C66" s="61">
        <v>175</v>
      </c>
      <c r="D66" s="18">
        <v>180</v>
      </c>
      <c r="E66" s="28">
        <f>2.75*AsphaltBinderBase+0.01</f>
        <v>2027.1175000000001</v>
      </c>
      <c r="F66" s="28">
        <f>2.8*AsphaltBinderBase</f>
        <v>2063.9639999999999</v>
      </c>
      <c r="G66" s="63">
        <f>1.75*AsphaltBinderBase</f>
        <v>1289.9775</v>
      </c>
      <c r="H66" s="8"/>
    </row>
    <row r="67" spans="1:8" x14ac:dyDescent="0.2">
      <c r="A67" s="8"/>
      <c r="B67" s="179"/>
      <c r="C67" s="61">
        <v>180</v>
      </c>
      <c r="D67" s="18">
        <v>185</v>
      </c>
      <c r="E67" s="28">
        <f>2.8*AsphaltBinderBase+0.01</f>
        <v>2063.9740000000002</v>
      </c>
      <c r="F67" s="28">
        <f>2.85*AsphaltBinderBase</f>
        <v>2100.8205000000003</v>
      </c>
      <c r="G67" s="64">
        <f>1.8*AsphaltBinderBase</f>
        <v>1326.8340000000001</v>
      </c>
      <c r="H67" s="8"/>
    </row>
    <row r="68" spans="1:8" x14ac:dyDescent="0.2">
      <c r="A68" s="8"/>
      <c r="B68" s="179"/>
      <c r="C68" s="61">
        <v>185</v>
      </c>
      <c r="D68" s="18">
        <v>190</v>
      </c>
      <c r="E68" s="28">
        <f>2.85*AsphaltBinderBase+0.01</f>
        <v>2100.8305000000005</v>
      </c>
      <c r="F68" s="28">
        <f>2.9*AsphaltBinderBase</f>
        <v>2137.6770000000001</v>
      </c>
      <c r="G68" s="63">
        <f>1.85*AsphaltBinderBase</f>
        <v>1363.6905000000002</v>
      </c>
      <c r="H68" s="8"/>
    </row>
    <row r="69" spans="1:8" x14ac:dyDescent="0.2">
      <c r="A69" s="8"/>
      <c r="B69" s="179"/>
      <c r="C69" s="61">
        <v>190</v>
      </c>
      <c r="D69" s="18">
        <v>195</v>
      </c>
      <c r="E69" s="28">
        <f>2.9*AsphaltBinderBase+0.01</f>
        <v>2137.6870000000004</v>
      </c>
      <c r="F69" s="28">
        <f>2.95*AsphaltBinderBase</f>
        <v>2174.5335</v>
      </c>
      <c r="G69" s="64">
        <f>1.9*AsphaltBinderBase</f>
        <v>1400.547</v>
      </c>
      <c r="H69" s="8"/>
    </row>
    <row r="70" spans="1:8" x14ac:dyDescent="0.2">
      <c r="A70" s="8"/>
      <c r="B70" s="179"/>
      <c r="C70" s="61">
        <v>195</v>
      </c>
      <c r="D70" s="18">
        <v>200</v>
      </c>
      <c r="E70" s="28">
        <f>2.95*AsphaltBinderBase+0.01</f>
        <v>2174.5435000000002</v>
      </c>
      <c r="F70" s="28">
        <f>3*AsphaltBinderBase</f>
        <v>2211.39</v>
      </c>
      <c r="G70" s="65">
        <f>1.95*AsphaltBinderBase</f>
        <v>1437.4034999999999</v>
      </c>
      <c r="H70" s="8"/>
    </row>
    <row r="71" spans="1:8" x14ac:dyDescent="0.2">
      <c r="A71" s="8"/>
      <c r="B71" s="180"/>
      <c r="C71" s="61">
        <v>200</v>
      </c>
      <c r="D71" s="18">
        <v>205</v>
      </c>
      <c r="E71" s="28">
        <f>3*AsphaltBinderBase+0.01</f>
        <v>2211.4</v>
      </c>
      <c r="F71" s="28">
        <f>3.05*AsphaltBinderBase</f>
        <v>2248.2464999999997</v>
      </c>
      <c r="G71" s="65">
        <f>2*AsphaltBinderBase</f>
        <v>1474.26</v>
      </c>
      <c r="H71" s="8"/>
    </row>
    <row r="72" spans="1:8" x14ac:dyDescent="0.2">
      <c r="A72" s="8"/>
      <c r="B72" s="180"/>
      <c r="C72" s="61">
        <v>205</v>
      </c>
      <c r="D72" s="18">
        <v>210</v>
      </c>
      <c r="E72" s="28">
        <f>3.05*AsphaltBinderBase+0.01</f>
        <v>2248.2565</v>
      </c>
      <c r="F72" s="28">
        <f>3.1*AsphaltBinderBase</f>
        <v>2285.1030000000001</v>
      </c>
      <c r="G72" s="65">
        <f>2.05*AsphaltBinderBase</f>
        <v>1511.1164999999999</v>
      </c>
      <c r="H72" s="8"/>
    </row>
    <row r="73" spans="1:8" x14ac:dyDescent="0.2">
      <c r="A73" s="8"/>
      <c r="B73" s="180"/>
      <c r="C73" s="61">
        <v>210</v>
      </c>
      <c r="D73" s="18">
        <v>215</v>
      </c>
      <c r="E73" s="28">
        <f>3.1*AsphaltBinderBase+0.01</f>
        <v>2285.1130000000003</v>
      </c>
      <c r="F73" s="28">
        <f>3.15*AsphaltBinderBase</f>
        <v>2321.9594999999999</v>
      </c>
      <c r="G73" s="65">
        <f>2.1*AsphaltBinderBase</f>
        <v>1547.973</v>
      </c>
      <c r="H73" s="8"/>
    </row>
    <row r="74" spans="1:8" x14ac:dyDescent="0.2">
      <c r="A74" s="8"/>
      <c r="B74" s="180"/>
      <c r="C74" s="61">
        <v>215</v>
      </c>
      <c r="D74" s="18">
        <v>220</v>
      </c>
      <c r="E74" s="28">
        <f>3.15*AsphaltBinderBase+0.01</f>
        <v>2321.9695000000002</v>
      </c>
      <c r="F74" s="28">
        <f>3.2*AsphaltBinderBase</f>
        <v>2358.8160000000003</v>
      </c>
      <c r="G74" s="65">
        <f>2.15*AsphaltBinderBase</f>
        <v>1584.8294999999998</v>
      </c>
      <c r="H74" s="8"/>
    </row>
    <row r="75" spans="1:8" x14ac:dyDescent="0.2">
      <c r="A75" s="8"/>
      <c r="B75" s="180"/>
      <c r="C75" s="61">
        <v>220</v>
      </c>
      <c r="D75" s="18">
        <v>225</v>
      </c>
      <c r="E75" s="28">
        <f>3.2*AsphaltBinderBase+0.01</f>
        <v>2358.8260000000005</v>
      </c>
      <c r="F75" s="28">
        <f>3.25*AsphaltBinderBase</f>
        <v>2395.6725000000001</v>
      </c>
      <c r="G75" s="65">
        <f>2.2*AsphaltBinderBase</f>
        <v>1621.6860000000001</v>
      </c>
      <c r="H75" s="8"/>
    </row>
    <row r="76" spans="1:8" x14ac:dyDescent="0.2">
      <c r="A76" s="8"/>
      <c r="B76" s="180"/>
      <c r="C76" s="61">
        <v>225</v>
      </c>
      <c r="D76" s="18">
        <v>230</v>
      </c>
      <c r="E76" s="28">
        <f>3.25*AsphaltBinderBase+0.01</f>
        <v>2395.6825000000003</v>
      </c>
      <c r="F76" s="28">
        <f>3.3*AsphaltBinderBase</f>
        <v>2432.529</v>
      </c>
      <c r="G76" s="65">
        <f>2.25*AsphaltBinderBase</f>
        <v>1658.5425</v>
      </c>
      <c r="H76" s="8"/>
    </row>
    <row r="77" spans="1:8" x14ac:dyDescent="0.2">
      <c r="A77" s="8"/>
      <c r="B77" s="180"/>
      <c r="C77" s="61">
        <v>230</v>
      </c>
      <c r="D77" s="18">
        <v>235</v>
      </c>
      <c r="E77" s="28">
        <f>3.3*AsphaltBinderBase+0.01</f>
        <v>2432.5390000000002</v>
      </c>
      <c r="F77" s="28">
        <f>3.35*AsphaltBinderBase</f>
        <v>2469.3854999999999</v>
      </c>
      <c r="G77" s="65">
        <f>2.3*AsphaltBinderBase</f>
        <v>1695.3989999999999</v>
      </c>
      <c r="H77" s="8"/>
    </row>
    <row r="78" spans="1:8" x14ac:dyDescent="0.2">
      <c r="A78" s="8"/>
      <c r="B78" s="180"/>
      <c r="C78" s="61">
        <v>235</v>
      </c>
      <c r="D78" s="18">
        <v>240</v>
      </c>
      <c r="E78" s="28">
        <f>3.35*AsphaltBinderBase+0.01</f>
        <v>2469.3955000000001</v>
      </c>
      <c r="F78" s="28">
        <f>3.4*AsphaltBinderBase</f>
        <v>2506.2419999999997</v>
      </c>
      <c r="G78" s="65">
        <f>2.35*AsphaltBinderBase</f>
        <v>1732.2555</v>
      </c>
      <c r="H78" s="8"/>
    </row>
    <row r="79" spans="1:8" x14ac:dyDescent="0.2">
      <c r="A79" s="8"/>
      <c r="B79" s="180"/>
      <c r="C79" s="61">
        <v>240</v>
      </c>
      <c r="D79" s="18">
        <v>245</v>
      </c>
      <c r="E79" s="28">
        <f>3.4*AsphaltBinderBase+0.01</f>
        <v>2506.252</v>
      </c>
      <c r="F79" s="28">
        <f>3.45*AsphaltBinderBase</f>
        <v>2543.0985000000001</v>
      </c>
      <c r="G79" s="65">
        <f>2.4*AsphaltBinderBase</f>
        <v>1769.1119999999999</v>
      </c>
      <c r="H79" s="8"/>
    </row>
    <row r="80" spans="1:8" x14ac:dyDescent="0.2">
      <c r="A80" s="8"/>
      <c r="B80" s="180"/>
      <c r="C80" s="61">
        <v>245</v>
      </c>
      <c r="D80" s="18">
        <v>250</v>
      </c>
      <c r="E80" s="28">
        <f>3.45*AsphaltBinderBase+0.01</f>
        <v>2543.1085000000003</v>
      </c>
      <c r="F80" s="28">
        <f>3.5*AsphaltBinderBase</f>
        <v>2579.9549999999999</v>
      </c>
      <c r="G80" s="65">
        <f>2.45*AsphaltBinderBase</f>
        <v>1805.9685000000002</v>
      </c>
      <c r="H80" s="8"/>
    </row>
    <row r="81" spans="1:8" x14ac:dyDescent="0.2">
      <c r="A81" s="8"/>
      <c r="B81" s="180"/>
      <c r="C81" s="61">
        <v>250</v>
      </c>
      <c r="D81" s="18">
        <v>255</v>
      </c>
      <c r="E81" s="28">
        <f>3.5*AsphaltBinderBase+0.01</f>
        <v>2579.9650000000001</v>
      </c>
      <c r="F81" s="28">
        <f>3.55*AsphaltBinderBase</f>
        <v>2616.8114999999998</v>
      </c>
      <c r="G81" s="65">
        <f>2.5*AsphaltBinderBase</f>
        <v>1842.825</v>
      </c>
      <c r="H81" s="8"/>
    </row>
    <row r="82" spans="1:8" x14ac:dyDescent="0.2">
      <c r="A82" s="8"/>
      <c r="B82" s="180"/>
      <c r="C82" s="61">
        <v>255</v>
      </c>
      <c r="D82" s="18">
        <v>260</v>
      </c>
      <c r="E82" s="28">
        <f>3.55*AsphaltBinderBase+0.01</f>
        <v>2616.8215</v>
      </c>
      <c r="F82" s="28">
        <f>3.6*AsphaltBinderBase</f>
        <v>2653.6680000000001</v>
      </c>
      <c r="G82" s="65">
        <f>2.55*AsphaltBinderBase</f>
        <v>1879.6814999999999</v>
      </c>
      <c r="H82" s="8"/>
    </row>
    <row r="83" spans="1:8" x14ac:dyDescent="0.2">
      <c r="A83" s="8"/>
      <c r="B83" s="180"/>
      <c r="C83" s="61">
        <v>260</v>
      </c>
      <c r="D83" s="18">
        <v>265</v>
      </c>
      <c r="E83" s="28">
        <f>3.6*AsphaltBinderBase+0.01</f>
        <v>2653.6780000000003</v>
      </c>
      <c r="F83" s="28">
        <f>3.65*AsphaltBinderBase</f>
        <v>2690.5245</v>
      </c>
      <c r="G83" s="65">
        <f>2.6*AsphaltBinderBase</f>
        <v>1916.538</v>
      </c>
      <c r="H83" s="8"/>
    </row>
    <row r="84" spans="1:8" x14ac:dyDescent="0.2">
      <c r="A84" s="8"/>
      <c r="B84" s="180"/>
      <c r="C84" s="61">
        <v>265</v>
      </c>
      <c r="D84" s="18">
        <v>270</v>
      </c>
      <c r="E84" s="28">
        <f>3.65*AsphaltBinderBase+0.01</f>
        <v>2690.5345000000002</v>
      </c>
      <c r="F84" s="28">
        <f>3.7*AsphaltBinderBase</f>
        <v>2727.3810000000003</v>
      </c>
      <c r="G84" s="65">
        <f>2.65*AsphaltBinderBase</f>
        <v>1953.3944999999999</v>
      </c>
      <c r="H84" s="8"/>
    </row>
    <row r="85" spans="1:8" x14ac:dyDescent="0.2">
      <c r="A85" s="8"/>
      <c r="B85" s="180"/>
      <c r="C85" s="61">
        <v>270</v>
      </c>
      <c r="D85" s="18">
        <v>275</v>
      </c>
      <c r="E85" s="28">
        <f>3.7*AsphaltBinderBase+0.01</f>
        <v>2727.3910000000005</v>
      </c>
      <c r="F85" s="28">
        <f>3.75*AsphaltBinderBase</f>
        <v>2764.2375000000002</v>
      </c>
      <c r="G85" s="65">
        <f>2.7*AsphaltBinderBase</f>
        <v>1990.2510000000002</v>
      </c>
      <c r="H85" s="8"/>
    </row>
    <row r="86" spans="1:8" x14ac:dyDescent="0.2">
      <c r="A86" s="8"/>
      <c r="B86" s="180"/>
      <c r="C86" s="61">
        <v>275</v>
      </c>
      <c r="D86" s="18">
        <v>280</v>
      </c>
      <c r="E86" s="28">
        <f>3.75*AsphaltBinderBase+0.01</f>
        <v>2764.2475000000004</v>
      </c>
      <c r="F86" s="28">
        <f>3.8*AsphaltBinderBase</f>
        <v>2801.0940000000001</v>
      </c>
      <c r="G86" s="65">
        <f>2.75*AsphaltBinderBase</f>
        <v>2027.1075000000001</v>
      </c>
      <c r="H86" s="8"/>
    </row>
    <row r="87" spans="1:8" x14ac:dyDescent="0.2">
      <c r="A87" s="8"/>
      <c r="B87" s="180"/>
      <c r="C87" s="61">
        <v>280</v>
      </c>
      <c r="D87" s="18">
        <v>285</v>
      </c>
      <c r="E87" s="28">
        <f>3.8*AsphaltBinderBase+0.01</f>
        <v>2801.1040000000003</v>
      </c>
      <c r="F87" s="28">
        <f>3.85*AsphaltBinderBase</f>
        <v>2837.9504999999999</v>
      </c>
      <c r="G87" s="65">
        <f>2.8*AsphaltBinderBase</f>
        <v>2063.9639999999999</v>
      </c>
      <c r="H87" s="8"/>
    </row>
    <row r="88" spans="1:8" x14ac:dyDescent="0.2">
      <c r="A88" s="8"/>
      <c r="B88" s="180"/>
      <c r="C88" s="61">
        <v>285</v>
      </c>
      <c r="D88" s="18">
        <v>290</v>
      </c>
      <c r="E88" s="28">
        <f>3.85*AsphaltBinderBase+0.01</f>
        <v>2837.9605000000001</v>
      </c>
      <c r="F88" s="28">
        <f>3.9*AsphaltBinderBase</f>
        <v>2874.8069999999998</v>
      </c>
      <c r="G88" s="65">
        <f>2.85*AsphaltBinderBase</f>
        <v>2100.8205000000003</v>
      </c>
      <c r="H88" s="8"/>
    </row>
    <row r="89" spans="1:8" x14ac:dyDescent="0.2">
      <c r="A89" s="8"/>
      <c r="B89" s="180"/>
      <c r="C89" s="61">
        <v>290</v>
      </c>
      <c r="D89" s="18">
        <v>295</v>
      </c>
      <c r="E89" s="28">
        <f>3.9*AsphaltBinderBase+0.01</f>
        <v>2874.817</v>
      </c>
      <c r="F89" s="28">
        <f>3.95*AsphaltBinderBase</f>
        <v>2911.6635000000001</v>
      </c>
      <c r="G89" s="65">
        <f>2.9*AsphaltBinderBase</f>
        <v>2137.6770000000001</v>
      </c>
      <c r="H89" s="8"/>
    </row>
    <row r="90" spans="1:8" x14ac:dyDescent="0.2">
      <c r="A90" s="8"/>
      <c r="B90" s="180"/>
      <c r="C90" s="61">
        <v>295</v>
      </c>
      <c r="D90" s="18">
        <v>300</v>
      </c>
      <c r="E90" s="28">
        <f>3.95*AsphaltBinderBase+0.01</f>
        <v>2911.6735000000003</v>
      </c>
      <c r="F90" s="28">
        <f>4*AsphaltBinderBase</f>
        <v>2948.52</v>
      </c>
      <c r="G90" s="65">
        <f>2.95*AsphaltBinderBase</f>
        <v>2174.5335</v>
      </c>
      <c r="H90" s="8"/>
    </row>
    <row r="91" spans="1:8" x14ac:dyDescent="0.2">
      <c r="A91" s="8"/>
      <c r="B91" s="180"/>
      <c r="C91" s="61">
        <v>300</v>
      </c>
      <c r="D91" s="18">
        <v>305</v>
      </c>
      <c r="E91" s="28">
        <f>4*AsphaltBinderBase+0.01</f>
        <v>2948.53</v>
      </c>
      <c r="F91" s="28">
        <f>4.05*AsphaltBinderBase</f>
        <v>2985.3764999999999</v>
      </c>
      <c r="G91" s="65">
        <f>3*AsphaltBinderBase</f>
        <v>2211.39</v>
      </c>
      <c r="H91" s="8"/>
    </row>
    <row r="92" spans="1:8" x14ac:dyDescent="0.2">
      <c r="A92" s="8"/>
      <c r="B92" s="180"/>
      <c r="C92" s="61">
        <v>305</v>
      </c>
      <c r="D92" s="18">
        <v>310</v>
      </c>
      <c r="E92" s="28">
        <f>4.05*AsphaltBinderBase+0.01</f>
        <v>2985.3865000000001</v>
      </c>
      <c r="F92" s="28">
        <f>4.1*AsphaltBinderBase</f>
        <v>3022.2329999999997</v>
      </c>
      <c r="G92" s="65">
        <f>3.05*AsphaltBinderBase</f>
        <v>2248.2464999999997</v>
      </c>
      <c r="H92" s="8"/>
    </row>
    <row r="93" spans="1:8" x14ac:dyDescent="0.2">
      <c r="A93" s="8"/>
      <c r="B93" s="180"/>
      <c r="C93" s="61">
        <v>310</v>
      </c>
      <c r="D93" s="18">
        <v>315</v>
      </c>
      <c r="E93" s="28">
        <f>4.1*AsphaltBinderBase+0.01</f>
        <v>3022.2429999999999</v>
      </c>
      <c r="F93" s="28">
        <f>4.15*AsphaltBinderBase</f>
        <v>3059.0895</v>
      </c>
      <c r="G93" s="65">
        <f>3.1*AsphaltBinderBase</f>
        <v>2285.1030000000001</v>
      </c>
      <c r="H93" s="8"/>
    </row>
    <row r="94" spans="1:8" x14ac:dyDescent="0.2">
      <c r="A94" s="8"/>
      <c r="B94" s="180"/>
      <c r="C94" s="61">
        <v>315</v>
      </c>
      <c r="D94" s="18">
        <v>320</v>
      </c>
      <c r="E94" s="28">
        <f>4.15*AsphaltBinderBase+0.01</f>
        <v>3059.0995000000003</v>
      </c>
      <c r="F94" s="28">
        <f>4.2*AsphaltBinderBase</f>
        <v>3095.9459999999999</v>
      </c>
      <c r="G94" s="65">
        <f>3.15*AsphaltBinderBase</f>
        <v>2321.9594999999999</v>
      </c>
      <c r="H94" s="8"/>
    </row>
    <row r="95" spans="1:8" x14ac:dyDescent="0.2">
      <c r="A95" s="8"/>
      <c r="B95" s="180"/>
      <c r="C95" s="61">
        <v>320</v>
      </c>
      <c r="D95" s="18">
        <v>325</v>
      </c>
      <c r="E95" s="28">
        <f>4.2*AsphaltBinderBase+0.01</f>
        <v>3095.9560000000001</v>
      </c>
      <c r="F95" s="28">
        <f>4.25*AsphaltBinderBase</f>
        <v>3132.8024999999998</v>
      </c>
      <c r="G95" s="65">
        <f>3.2*AsphaltBinderBase</f>
        <v>2358.8160000000003</v>
      </c>
      <c r="H95" s="8"/>
    </row>
    <row r="96" spans="1:8" x14ac:dyDescent="0.2">
      <c r="A96" s="8"/>
      <c r="B96" s="180"/>
      <c r="C96" s="61">
        <v>325</v>
      </c>
      <c r="D96" s="18">
        <v>330</v>
      </c>
      <c r="E96" s="28">
        <f>4.25*AsphaltBinderBase+0.01</f>
        <v>3132.8125</v>
      </c>
      <c r="F96" s="28">
        <f>4.3*AsphaltBinderBase</f>
        <v>3169.6589999999997</v>
      </c>
      <c r="G96" s="65">
        <f>3.25*AsphaltBinderBase</f>
        <v>2395.6725000000001</v>
      </c>
      <c r="H96" s="8"/>
    </row>
    <row r="97" spans="1:8" x14ac:dyDescent="0.2">
      <c r="A97" s="8"/>
      <c r="B97" s="180"/>
      <c r="C97" s="61">
        <v>330</v>
      </c>
      <c r="D97" s="18">
        <v>335</v>
      </c>
      <c r="E97" s="28">
        <f>4.3*AsphaltBinderBase+0.01</f>
        <v>3169.6689999999999</v>
      </c>
      <c r="F97" s="28">
        <f>4.35*AsphaltBinderBase</f>
        <v>3206.5154999999995</v>
      </c>
      <c r="G97" s="65">
        <f>3.3*AsphaltBinderBase</f>
        <v>2432.529</v>
      </c>
      <c r="H97" s="8"/>
    </row>
    <row r="98" spans="1:8" x14ac:dyDescent="0.2">
      <c r="A98" s="8"/>
      <c r="B98" s="180"/>
      <c r="C98" s="61">
        <v>335</v>
      </c>
      <c r="D98" s="18">
        <v>340</v>
      </c>
      <c r="E98" s="28">
        <f>4.35*AsphaltBinderBase+0.01</f>
        <v>3206.5254999999997</v>
      </c>
      <c r="F98" s="28">
        <f>4.4*AsphaltBinderBase</f>
        <v>3243.3720000000003</v>
      </c>
      <c r="G98" s="65">
        <f>3.35*AsphaltBinderBase</f>
        <v>2469.3854999999999</v>
      </c>
      <c r="H98" s="8"/>
    </row>
    <row r="99" spans="1:8" x14ac:dyDescent="0.2">
      <c r="A99" s="8"/>
      <c r="B99" s="180"/>
      <c r="C99" s="61">
        <v>340</v>
      </c>
      <c r="D99" s="18">
        <v>345</v>
      </c>
      <c r="E99" s="28">
        <f>4.4*AsphaltBinderBase+0.01</f>
        <v>3243.3820000000005</v>
      </c>
      <c r="F99" s="28">
        <f>4.45*AsphaltBinderBase</f>
        <v>3280.2285000000002</v>
      </c>
      <c r="G99" s="65">
        <f>3.4*AsphaltBinderBase</f>
        <v>2506.2419999999997</v>
      </c>
      <c r="H99" s="8"/>
    </row>
    <row r="100" spans="1:8" x14ac:dyDescent="0.2">
      <c r="A100" s="8"/>
      <c r="B100" s="180"/>
      <c r="C100" s="61">
        <v>345</v>
      </c>
      <c r="D100" s="18">
        <v>350</v>
      </c>
      <c r="E100" s="28">
        <f>4.45*AsphaltBinderBase+0.01</f>
        <v>3280.2385000000004</v>
      </c>
      <c r="F100" s="28">
        <f>4.5*AsphaltBinderBase</f>
        <v>3317.085</v>
      </c>
      <c r="G100" s="65">
        <f>3.45*AsphaltBinderBase</f>
        <v>2543.0985000000001</v>
      </c>
      <c r="H100" s="8"/>
    </row>
    <row r="101" spans="1:8" x14ac:dyDescent="0.2">
      <c r="A101" s="8"/>
      <c r="B101" s="180"/>
      <c r="C101" s="61">
        <v>350</v>
      </c>
      <c r="D101" s="18">
        <v>355</v>
      </c>
      <c r="E101" s="28">
        <f>4.5*AsphaltBinderBase+0.01</f>
        <v>3317.0950000000003</v>
      </c>
      <c r="F101" s="28">
        <f>4.55*AsphaltBinderBase</f>
        <v>3353.9414999999999</v>
      </c>
      <c r="G101" s="65">
        <f>3.5*AsphaltBinderBase</f>
        <v>2579.9549999999999</v>
      </c>
      <c r="H101" s="8"/>
    </row>
    <row r="102" spans="1:8" x14ac:dyDescent="0.2">
      <c r="A102" s="8"/>
      <c r="B102" s="180"/>
      <c r="C102" s="61">
        <v>355</v>
      </c>
      <c r="D102" s="18">
        <v>360</v>
      </c>
      <c r="E102" s="28">
        <f>4.55*AsphaltBinderBase+0.01</f>
        <v>3353.9515000000001</v>
      </c>
      <c r="F102" s="28">
        <f>4.6*AsphaltBinderBase</f>
        <v>3390.7979999999998</v>
      </c>
      <c r="G102" s="65">
        <f>3.55*AsphaltBinderBase</f>
        <v>2616.8114999999998</v>
      </c>
      <c r="H102" s="8"/>
    </row>
    <row r="103" spans="1:8" x14ac:dyDescent="0.2">
      <c r="A103" s="8"/>
      <c r="B103" s="180"/>
      <c r="C103" s="61">
        <v>360</v>
      </c>
      <c r="D103" s="18">
        <v>365</v>
      </c>
      <c r="E103" s="28">
        <f>4.6*AsphaltBinderBase+0.01</f>
        <v>3390.808</v>
      </c>
      <c r="F103" s="28">
        <f>4.65*AsphaltBinderBase</f>
        <v>3427.6545000000001</v>
      </c>
      <c r="G103" s="65">
        <f>3.6*AsphaltBinderBase</f>
        <v>2653.6680000000001</v>
      </c>
      <c r="H103" s="8"/>
    </row>
    <row r="104" spans="1:8" x14ac:dyDescent="0.2">
      <c r="A104" s="8"/>
      <c r="B104" s="180"/>
      <c r="C104" s="61">
        <v>365</v>
      </c>
      <c r="D104" s="18">
        <v>370</v>
      </c>
      <c r="E104" s="28">
        <f>4.65*AsphaltBinderBase+0.01</f>
        <v>3427.6645000000003</v>
      </c>
      <c r="F104" s="28">
        <f>4.7*AsphaltBinderBase</f>
        <v>3464.511</v>
      </c>
      <c r="G104" s="65">
        <f>3.65*AsphaltBinderBase</f>
        <v>2690.5245</v>
      </c>
      <c r="H104" s="8"/>
    </row>
    <row r="105" spans="1:8" x14ac:dyDescent="0.2">
      <c r="A105" s="8"/>
      <c r="B105" s="181"/>
      <c r="C105" s="67">
        <v>370</v>
      </c>
      <c r="D105" s="53">
        <v>375</v>
      </c>
      <c r="E105" s="56">
        <f>4.7*AsphaltBinderBase+0.01</f>
        <v>3464.5210000000002</v>
      </c>
      <c r="F105" s="56">
        <f>4.75*AsphaltBinderBase</f>
        <v>3501.3674999999998</v>
      </c>
      <c r="G105" s="66">
        <f>3.7*AsphaltBinderBase</f>
        <v>2727.3810000000003</v>
      </c>
      <c r="H105" s="8"/>
    </row>
    <row r="106" spans="1:8" x14ac:dyDescent="0.2">
      <c r="A106" s="8"/>
      <c r="B106" s="8"/>
      <c r="C106" s="8"/>
      <c r="D106" s="8"/>
      <c r="E106" s="8"/>
      <c r="F106" s="8"/>
      <c r="G106" s="8"/>
      <c r="H106" s="8"/>
    </row>
    <row r="107" spans="1:8" x14ac:dyDescent="0.2">
      <c r="A107" s="8"/>
      <c r="B107" s="8"/>
      <c r="C107" s="8"/>
      <c r="D107" s="8"/>
      <c r="E107" s="8"/>
      <c r="F107" s="8"/>
      <c r="G107" s="8"/>
      <c r="H107" s="8"/>
    </row>
    <row r="108" spans="1:8" x14ac:dyDescent="0.2">
      <c r="A108" s="8"/>
      <c r="B108" s="8"/>
      <c r="C108" s="8"/>
      <c r="D108" s="8"/>
      <c r="E108" s="8"/>
      <c r="F108" s="8"/>
      <c r="G108" s="8"/>
      <c r="H108" s="8"/>
    </row>
  </sheetData>
  <sheetProtection algorithmName="SHA-512" hashValue="z4MdVeK+eqConrGpz29Jlqh1msPFPhZy8Q+yUnxyP6qdMhNtBnaJVAwhkn7gqM1Mg9jBTILRkMSUt5+J2pCPjg==" saltValue="LbzPlDxWSNsr8LbvnbKM9Q==" spinCount="100000" sheet="1" objects="1" scenarios="1"/>
  <mergeCells count="6">
    <mergeCell ref="B31:B105"/>
    <mergeCell ref="B11:B30"/>
    <mergeCell ref="B2:G2"/>
    <mergeCell ref="C4:D4"/>
    <mergeCell ref="C5:D5"/>
    <mergeCell ref="C6:D6"/>
  </mergeCells>
  <phoneticPr fontId="0" type="noConversion"/>
  <conditionalFormatting sqref="G11:G105">
    <cfRule type="cellIs" dxfId="0" priority="1" stopIfTrue="1" operator="equal">
      <formula>$E$6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2"/>
  <sheetViews>
    <sheetView zoomScale="130" zoomScaleNormal="130" workbookViewId="0">
      <selection activeCell="I8" sqref="I8"/>
    </sheetView>
  </sheetViews>
  <sheetFormatPr defaultRowHeight="12.75" x14ac:dyDescent="0.2"/>
  <cols>
    <col min="2" max="2" width="26.5703125" bestFit="1" customWidth="1"/>
    <col min="4" max="4" width="10.42578125" customWidth="1"/>
    <col min="5" max="5" width="12" bestFit="1" customWidth="1"/>
    <col min="6" max="6" width="12.140625" customWidth="1"/>
  </cols>
  <sheetData>
    <row r="1" spans="1:8" x14ac:dyDescent="0.2">
      <c r="A1" s="8"/>
      <c r="B1" s="8"/>
      <c r="C1" s="8"/>
      <c r="D1" s="8"/>
      <c r="E1" s="8"/>
      <c r="F1" s="8"/>
      <c r="G1" s="8"/>
      <c r="H1" s="8"/>
    </row>
    <row r="2" spans="1:8" ht="15.75" x14ac:dyDescent="0.25">
      <c r="A2" s="8"/>
      <c r="B2" s="188" t="s">
        <v>44</v>
      </c>
      <c r="C2" s="188"/>
      <c r="D2" s="188"/>
      <c r="E2" s="188"/>
      <c r="F2" s="188"/>
      <c r="G2" s="8"/>
      <c r="H2" s="8"/>
    </row>
    <row r="3" spans="1:8" x14ac:dyDescent="0.2">
      <c r="A3" s="8"/>
      <c r="B3" s="1"/>
      <c r="C3" s="1"/>
      <c r="D3" s="29" t="s">
        <v>45</v>
      </c>
      <c r="E3" s="30">
        <f>AsphaltBinderBase</f>
        <v>737.13</v>
      </c>
      <c r="F3" s="1"/>
      <c r="G3" s="8"/>
      <c r="H3" s="8"/>
    </row>
    <row r="4" spans="1:8" x14ac:dyDescent="0.2">
      <c r="A4" s="8"/>
      <c r="B4" s="1"/>
      <c r="C4" s="1"/>
      <c r="D4" s="29" t="s">
        <v>46</v>
      </c>
      <c r="E4" s="30">
        <f>AsphaltBinderCurrent</f>
        <v>737.13</v>
      </c>
      <c r="F4" s="1"/>
      <c r="G4" s="8"/>
      <c r="H4" s="8"/>
    </row>
    <row r="5" spans="1:8" ht="51" x14ac:dyDescent="0.2">
      <c r="A5" s="8"/>
      <c r="B5" s="31" t="s">
        <v>47</v>
      </c>
      <c r="C5" s="32" t="s">
        <v>48</v>
      </c>
      <c r="D5" s="33" t="s">
        <v>49</v>
      </c>
      <c r="E5" s="33" t="s">
        <v>50</v>
      </c>
      <c r="F5" s="33" t="s">
        <v>51</v>
      </c>
      <c r="G5" s="8"/>
      <c r="H5" s="8"/>
    </row>
    <row r="6" spans="1:8" ht="15" x14ac:dyDescent="0.25">
      <c r="A6" s="8"/>
      <c r="B6" s="69" t="s">
        <v>54</v>
      </c>
      <c r="C6" s="70"/>
      <c r="D6" s="70"/>
      <c r="E6" s="70"/>
      <c r="F6" s="71"/>
      <c r="G6" s="8"/>
      <c r="H6" s="8"/>
    </row>
    <row r="7" spans="1:8" x14ac:dyDescent="0.2">
      <c r="A7" s="8"/>
      <c r="B7" s="72" t="s">
        <v>52</v>
      </c>
      <c r="C7" s="32" t="s">
        <v>20</v>
      </c>
      <c r="D7" s="32">
        <v>0.28000000000000003</v>
      </c>
      <c r="E7" s="32">
        <f>D7*0.65/235</f>
        <v>7.7446808510638304E-4</v>
      </c>
      <c r="F7" s="34">
        <f>E7*AsphaltBinderChange</f>
        <v>0</v>
      </c>
      <c r="G7" s="8"/>
      <c r="H7" s="8"/>
    </row>
    <row r="8" spans="1:8" x14ac:dyDescent="0.2">
      <c r="A8" s="8"/>
      <c r="B8" s="72" t="s">
        <v>53</v>
      </c>
      <c r="C8" s="1"/>
      <c r="D8" s="1"/>
      <c r="E8" s="1"/>
      <c r="F8" s="1"/>
      <c r="G8" s="8"/>
      <c r="H8" s="8"/>
    </row>
    <row r="9" spans="1:8" x14ac:dyDescent="0.2">
      <c r="A9" s="8"/>
      <c r="B9" s="73" t="s">
        <v>59</v>
      </c>
      <c r="C9" s="32" t="s">
        <v>20</v>
      </c>
      <c r="D9" s="32">
        <v>0.55000000000000004</v>
      </c>
      <c r="E9" s="32">
        <f>D9*0.65/235</f>
        <v>1.521276595744681E-3</v>
      </c>
      <c r="F9" s="34">
        <f>E9*AsphaltBinderChange</f>
        <v>0</v>
      </c>
      <c r="G9" s="8"/>
      <c r="H9" s="8"/>
    </row>
    <row r="10" spans="1:8" x14ac:dyDescent="0.2">
      <c r="A10" s="8"/>
      <c r="B10" s="73" t="s">
        <v>60</v>
      </c>
      <c r="C10" s="32" t="s">
        <v>20</v>
      </c>
      <c r="D10" s="32">
        <v>0.46</v>
      </c>
      <c r="E10" s="32">
        <f>D10*0.65/235</f>
        <v>1.2723404255319151E-3</v>
      </c>
      <c r="F10" s="34">
        <f>E10*AsphaltBinderChange</f>
        <v>0</v>
      </c>
      <c r="G10" s="8"/>
      <c r="H10" s="8"/>
    </row>
    <row r="11" spans="1:8" x14ac:dyDescent="0.2">
      <c r="A11" s="8"/>
      <c r="B11" s="73" t="s">
        <v>61</v>
      </c>
      <c r="C11" s="32" t="s">
        <v>20</v>
      </c>
      <c r="D11" s="32">
        <v>0.48</v>
      </c>
      <c r="E11" s="32">
        <f>D11*0.65/235</f>
        <v>1.3276595744680852E-3</v>
      </c>
      <c r="F11" s="34">
        <f>E11*AsphaltBinderChange</f>
        <v>0</v>
      </c>
      <c r="G11" s="8"/>
      <c r="H11" s="8"/>
    </row>
    <row r="12" spans="1:8" x14ac:dyDescent="0.2">
      <c r="A12" s="8"/>
      <c r="B12" s="73"/>
      <c r="C12" s="32"/>
      <c r="D12" s="32"/>
      <c r="E12" s="32"/>
      <c r="F12" s="34"/>
      <c r="G12" s="8"/>
      <c r="H12" s="8"/>
    </row>
    <row r="13" spans="1:8" x14ac:dyDescent="0.2">
      <c r="A13" s="8"/>
      <c r="B13" s="73"/>
      <c r="C13" s="32"/>
      <c r="D13" s="32"/>
      <c r="E13" s="32"/>
      <c r="F13" s="34"/>
      <c r="G13" s="8"/>
      <c r="H13" s="8"/>
    </row>
    <row r="14" spans="1:8" x14ac:dyDescent="0.2">
      <c r="A14" s="8"/>
      <c r="B14" s="74"/>
      <c r="C14" s="75"/>
      <c r="D14" s="75"/>
      <c r="E14" s="75"/>
      <c r="F14" s="76"/>
      <c r="G14" s="8"/>
      <c r="H14" s="8"/>
    </row>
    <row r="15" spans="1:8" x14ac:dyDescent="0.2">
      <c r="A15" s="8"/>
      <c r="B15" s="74" t="s">
        <v>57</v>
      </c>
      <c r="C15" s="32" t="s">
        <v>20</v>
      </c>
      <c r="D15" s="32">
        <v>0.71</v>
      </c>
      <c r="E15" s="32">
        <f>D15*0.65/235</f>
        <v>1.9638297872340425E-3</v>
      </c>
      <c r="F15" s="34">
        <f>E15*AsphaltBinderChange</f>
        <v>0</v>
      </c>
      <c r="G15" s="8"/>
      <c r="H15" s="8"/>
    </row>
    <row r="16" spans="1:8" x14ac:dyDescent="0.2">
      <c r="A16" s="8"/>
      <c r="B16" s="73"/>
      <c r="C16" s="32"/>
      <c r="D16" s="32"/>
      <c r="E16" s="32"/>
      <c r="F16" s="34"/>
      <c r="G16" s="8"/>
      <c r="H16" s="8"/>
    </row>
    <row r="17" spans="1:8" x14ac:dyDescent="0.2">
      <c r="A17" s="8"/>
      <c r="B17" s="73"/>
      <c r="C17" s="32"/>
      <c r="D17" s="32"/>
      <c r="E17" s="32"/>
      <c r="F17" s="34"/>
      <c r="G17" s="8"/>
      <c r="H17" s="8"/>
    </row>
    <row r="18" spans="1:8" x14ac:dyDescent="0.2">
      <c r="A18" s="8"/>
      <c r="B18" s="8"/>
      <c r="C18" s="8"/>
      <c r="D18" s="8"/>
      <c r="E18" s="8"/>
      <c r="F18" s="8"/>
      <c r="G18" s="8"/>
      <c r="H18" s="8"/>
    </row>
    <row r="19" spans="1:8" x14ac:dyDescent="0.2">
      <c r="A19" s="8"/>
      <c r="B19" s="8"/>
      <c r="C19" s="8"/>
      <c r="D19" s="8"/>
      <c r="E19" s="8"/>
      <c r="F19" s="8"/>
      <c r="G19" s="8"/>
      <c r="H19" s="8"/>
    </row>
    <row r="20" spans="1:8" x14ac:dyDescent="0.2">
      <c r="A20" s="8"/>
      <c r="B20" s="8"/>
      <c r="C20" s="8"/>
      <c r="D20" s="8"/>
      <c r="E20" s="8"/>
      <c r="F20" s="8"/>
      <c r="G20" s="8"/>
      <c r="H20" s="8"/>
    </row>
    <row r="21" spans="1:8" x14ac:dyDescent="0.2">
      <c r="A21" s="8"/>
      <c r="B21" s="8"/>
      <c r="C21" s="8"/>
      <c r="D21" s="8"/>
      <c r="E21" s="8"/>
      <c r="F21" s="8"/>
      <c r="G21" s="8"/>
      <c r="H21" s="8"/>
    </row>
    <row r="22" spans="1:8" x14ac:dyDescent="0.2">
      <c r="A22" s="8"/>
      <c r="B22" s="8"/>
      <c r="C22" s="8"/>
      <c r="D22" s="8"/>
      <c r="E22" s="8"/>
      <c r="F22" s="8"/>
      <c r="G22" s="8"/>
      <c r="H22" s="8"/>
    </row>
  </sheetData>
  <sheetProtection algorithmName="SHA-512" hashValue="nY22SCwM5BcLsmLsPFLldeNzl2BBqUNMYKMZeGtcT7xqCgg2CH7C9EbIXjlXForU+gQE1FER4GCxIz1gNLYaTA==" saltValue="vTd3FWjYUR8/b5PXBSXIXg==" spinCount="100000" sheet="1" objects="1" scenarios="1"/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Index Dates and Adjustments</vt:lpstr>
      <vt:lpstr>Maintain Indexes</vt:lpstr>
      <vt:lpstr>Fuel Charts</vt:lpstr>
      <vt:lpstr>AC Binder Chart</vt:lpstr>
      <vt:lpstr>Bit. Surf. Chart</vt:lpstr>
      <vt:lpstr>AsphaltBinderBase</vt:lpstr>
      <vt:lpstr>AsphaltBinderChange</vt:lpstr>
      <vt:lpstr>AsphaltBinderCurrent</vt:lpstr>
      <vt:lpstr>DieselBase</vt:lpstr>
      <vt:lpstr>DieselChange</vt:lpstr>
      <vt:lpstr>DieselCurrent</vt:lpstr>
      <vt:lpstr>MaintainIndexes</vt:lpstr>
      <vt:lpstr>UnleadedBase</vt:lpstr>
      <vt:lpstr>UnleadedChange</vt:lpstr>
      <vt:lpstr>UnleadedCurrent</vt:lpstr>
      <vt:lpstr>Validdates</vt:lpstr>
    </vt:vector>
  </TitlesOfParts>
  <Company>SCDOT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Lindberg</dc:creator>
  <cp:lastModifiedBy>Elliott, Jeffrey, O.</cp:lastModifiedBy>
  <cp:lastPrinted>2011-06-17T15:19:45Z</cp:lastPrinted>
  <dcterms:created xsi:type="dcterms:W3CDTF">2006-08-02T15:15:53Z</dcterms:created>
  <dcterms:modified xsi:type="dcterms:W3CDTF">2026-11-02T16:55:02Z</dcterms:modified>
</cp:coreProperties>
</file>