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binsondm\Downloads\AEM\"/>
    </mc:Choice>
  </mc:AlternateContent>
  <xr:revisionPtr revIDLastSave="0" documentId="8_{3C019888-94DA-4DAD-86F2-9991FE1DB8A0}" xr6:coauthVersionLast="47" xr6:coauthVersionMax="47" xr10:uidLastSave="{00000000-0000-0000-0000-000000000000}"/>
  <workbookProtection workbookAlgorithmName="SHA-512" workbookHashValue="x2rpfVlKb60qmJ1Y0aYzYFG9/n7DlyKtlwY0NbdOWAb4swz8BEh9SlBOI3Tw2dIiTQg8g7ZCHi+mdUlNCZ7pIQ==" workbookSaltValue="YS2EptkzqYIfvYzmI/N0zw==" workbookSpinCount="100000" lockStructure="1"/>
  <bookViews>
    <workbookView xWindow="-28680" yWindow="1785" windowWidth="22635" windowHeight="11295" tabRatio="845" xr2:uid="{00000000-000D-0000-FFFF-FFFF00000000}"/>
  </bookViews>
  <sheets>
    <sheet name="Index Dates and Adjustments" sheetId="1" r:id="rId1"/>
    <sheet name="Maintain Indexes" sheetId="2" r:id="rId2"/>
    <sheet name="Fuel Charts" sheetId="3" r:id="rId3"/>
    <sheet name="AC Binder Chart" sheetId="4" r:id="rId4"/>
    <sheet name="Bit. Surf. Chart" sheetId="5" r:id="rId5"/>
  </sheets>
  <definedNames>
    <definedName name="AsphaltBinderBase">'Index Dates and Adjustments'!$C$8</definedName>
    <definedName name="AsphaltBinderChange">'AC Binder Chart'!$E$6</definedName>
    <definedName name="AsphaltBinderCurrent">'Index Dates and Adjustments'!$I$8</definedName>
    <definedName name="DieselBase">'Index Dates and Adjustments'!$D$8</definedName>
    <definedName name="DieselChange">'Fuel Charts'!$E$7</definedName>
    <definedName name="DieselCurrent">'Index Dates and Adjustments'!$J$8</definedName>
    <definedName name="MaintainIndexes">'Maintain Indexes'!$B$4:$E$131</definedName>
    <definedName name="UnleadedBase">'Index Dates and Adjustments'!$E$8</definedName>
    <definedName name="UnleadedChange">'Fuel Charts'!$E$62</definedName>
    <definedName name="UnleadedCurrent">'Index Dates and Adjustments'!$K$8</definedName>
    <definedName name="Validdates">'Maintain Indexes'!$B$4:$B$131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E35" i="4" l="1"/>
  <c r="I8" i="1"/>
  <c r="E4" i="5" s="1"/>
  <c r="E10" i="5"/>
  <c r="E11" i="5"/>
  <c r="E9" i="5"/>
  <c r="E7" i="5"/>
  <c r="E15" i="5"/>
  <c r="D8" i="1"/>
  <c r="E50" i="3" s="1"/>
  <c r="E8" i="1"/>
  <c r="G78" i="3" s="1"/>
  <c r="K8" i="1"/>
  <c r="E61" i="3" s="1"/>
  <c r="J8" i="1"/>
  <c r="E6" i="3" s="1"/>
  <c r="E85" i="4" l="1"/>
  <c r="E90" i="4"/>
  <c r="E16" i="4"/>
  <c r="E97" i="4"/>
  <c r="F79" i="4"/>
  <c r="F33" i="4"/>
  <c r="F45" i="4"/>
  <c r="E41" i="4"/>
  <c r="F89" i="3"/>
  <c r="F54" i="4"/>
  <c r="E3" i="5"/>
  <c r="G90" i="3"/>
  <c r="E87" i="4"/>
  <c r="F68" i="4"/>
  <c r="E81" i="4"/>
  <c r="E105" i="4"/>
  <c r="F96" i="4"/>
  <c r="F22" i="4"/>
  <c r="E84" i="4"/>
  <c r="F40" i="4"/>
  <c r="G65" i="4"/>
  <c r="G91" i="4"/>
  <c r="G37" i="4"/>
  <c r="F26" i="4"/>
  <c r="F63" i="4"/>
  <c r="G60" i="4"/>
  <c r="G84" i="4"/>
  <c r="F91" i="4"/>
  <c r="F88" i="4"/>
  <c r="G87" i="4"/>
  <c r="E95" i="4"/>
  <c r="F19" i="4"/>
  <c r="G42" i="4"/>
  <c r="E93" i="4"/>
  <c r="G61" i="4"/>
  <c r="G62" i="4"/>
  <c r="G82" i="4"/>
  <c r="G27" i="4"/>
  <c r="F75" i="4"/>
  <c r="F28" i="4"/>
  <c r="E74" i="4"/>
  <c r="F82" i="4"/>
  <c r="G36" i="4"/>
  <c r="E49" i="4"/>
  <c r="G57" i="4"/>
  <c r="G50" i="3"/>
  <c r="G43" i="3"/>
  <c r="G42" i="3"/>
  <c r="F30" i="3"/>
  <c r="G83" i="3"/>
  <c r="F48" i="3"/>
  <c r="E82" i="4"/>
  <c r="F15" i="4"/>
  <c r="F97" i="4"/>
  <c r="G103" i="4"/>
  <c r="G43" i="4"/>
  <c r="F38" i="4"/>
  <c r="F78" i="4"/>
  <c r="G12" i="4"/>
  <c r="E12" i="4"/>
  <c r="E51" i="4"/>
  <c r="G78" i="4"/>
  <c r="F50" i="4"/>
  <c r="G72" i="3"/>
  <c r="E74" i="3"/>
  <c r="E58" i="4"/>
  <c r="F41" i="4"/>
  <c r="E61" i="4"/>
  <c r="F46" i="4"/>
  <c r="F72" i="4"/>
  <c r="E20" i="4"/>
  <c r="E13" i="4"/>
  <c r="G56" i="4"/>
  <c r="F71" i="4"/>
  <c r="G29" i="4"/>
  <c r="G75" i="4"/>
  <c r="E48" i="4"/>
  <c r="G63" i="4"/>
  <c r="G50" i="4"/>
  <c r="E65" i="4"/>
  <c r="E67" i="4"/>
  <c r="G21" i="4"/>
  <c r="G39" i="4"/>
  <c r="F101" i="4"/>
  <c r="E103" i="4"/>
  <c r="G15" i="4"/>
  <c r="E38" i="4"/>
  <c r="E15" i="4"/>
  <c r="G35" i="4"/>
  <c r="G92" i="4"/>
  <c r="E23" i="4"/>
  <c r="G20" i="4"/>
  <c r="E68" i="4"/>
  <c r="G51" i="4"/>
  <c r="E70" i="4"/>
  <c r="E100" i="4"/>
  <c r="E31" i="4"/>
  <c r="F67" i="4"/>
  <c r="E27" i="4"/>
  <c r="G16" i="4"/>
  <c r="G59" i="4"/>
  <c r="G85" i="4"/>
  <c r="E44" i="4"/>
  <c r="G98" i="4"/>
  <c r="G30" i="4"/>
  <c r="F74" i="4"/>
  <c r="E40" i="4"/>
  <c r="G102" i="4"/>
  <c r="F73" i="4"/>
  <c r="F52" i="4"/>
  <c r="E57" i="4"/>
  <c r="F84" i="4"/>
  <c r="E24" i="4"/>
  <c r="E30" i="4"/>
  <c r="F60" i="4"/>
  <c r="F90" i="4"/>
  <c r="G76" i="4"/>
  <c r="F25" i="4"/>
  <c r="F51" i="4"/>
  <c r="E72" i="4"/>
  <c r="F59" i="4"/>
  <c r="F29" i="4"/>
  <c r="G80" i="4"/>
  <c r="G33" i="4"/>
  <c r="F53" i="4"/>
  <c r="G97" i="4"/>
  <c r="F48" i="4"/>
  <c r="F92" i="4"/>
  <c r="F11" i="4"/>
  <c r="E32" i="4"/>
  <c r="E71" i="4"/>
  <c r="E21" i="4"/>
  <c r="E28" i="4"/>
  <c r="G55" i="4"/>
  <c r="E33" i="4"/>
  <c r="F86" i="4"/>
  <c r="G67" i="4"/>
  <c r="G72" i="4"/>
  <c r="G49" i="4"/>
  <c r="F21" i="4"/>
  <c r="F104" i="4"/>
  <c r="F43" i="4"/>
  <c r="G83" i="4"/>
  <c r="F65" i="4"/>
  <c r="G34" i="4"/>
  <c r="E63" i="4"/>
  <c r="E98" i="4"/>
  <c r="F81" i="3"/>
  <c r="G95" i="3"/>
  <c r="E22" i="4"/>
  <c r="E101" i="4"/>
  <c r="G14" i="4"/>
  <c r="G28" i="4"/>
  <c r="E26" i="4"/>
  <c r="F16" i="4"/>
  <c r="E45" i="4"/>
  <c r="G70" i="4"/>
  <c r="G104" i="4"/>
  <c r="G38" i="4"/>
  <c r="F17" i="4"/>
  <c r="F35" i="4"/>
  <c r="E43" i="4"/>
  <c r="E75" i="4"/>
  <c r="F42" i="4"/>
  <c r="F103" i="4"/>
  <c r="F61" i="4"/>
  <c r="E47" i="4"/>
  <c r="G89" i="4"/>
  <c r="F76" i="4"/>
  <c r="F27" i="4"/>
  <c r="G79" i="4"/>
  <c r="G100" i="4"/>
  <c r="F80" i="4"/>
  <c r="E56" i="4"/>
  <c r="E78" i="4"/>
  <c r="F81" i="4"/>
  <c r="E92" i="3"/>
  <c r="E66" i="4"/>
  <c r="E83" i="3"/>
  <c r="F32" i="4"/>
  <c r="E53" i="4"/>
  <c r="F36" i="4"/>
  <c r="F89" i="4"/>
  <c r="G45" i="4"/>
  <c r="F69" i="4"/>
  <c r="E50" i="4"/>
  <c r="E29" i="4"/>
  <c r="F99" i="4"/>
  <c r="F70" i="4"/>
  <c r="E11" i="4"/>
  <c r="F14" i="4"/>
  <c r="G22" i="4"/>
  <c r="G73" i="4"/>
  <c r="F58" i="4"/>
  <c r="E19" i="4"/>
  <c r="G71" i="4"/>
  <c r="G44" i="4"/>
  <c r="F93" i="4"/>
  <c r="F55" i="4"/>
  <c r="F18" i="4"/>
  <c r="E80" i="4"/>
  <c r="E59" i="4"/>
  <c r="G68" i="4"/>
  <c r="E37" i="4"/>
  <c r="G101" i="4"/>
  <c r="F94" i="4"/>
  <c r="E35" i="3"/>
  <c r="G16" i="3"/>
  <c r="F42" i="3"/>
  <c r="G15" i="3"/>
  <c r="G40" i="3"/>
  <c r="G51" i="3"/>
  <c r="E18" i="3"/>
  <c r="G19" i="3"/>
  <c r="E27" i="3"/>
  <c r="G33" i="3"/>
  <c r="G49" i="3"/>
  <c r="E14" i="3"/>
  <c r="F12" i="3"/>
  <c r="G25" i="3"/>
  <c r="G29" i="3"/>
  <c r="G13" i="3"/>
  <c r="G35" i="3"/>
  <c r="F31" i="3"/>
  <c r="E13" i="3"/>
  <c r="F23" i="3"/>
  <c r="G22" i="3"/>
  <c r="E38" i="3"/>
  <c r="E29" i="3"/>
  <c r="G46" i="3"/>
  <c r="F82" i="3"/>
  <c r="E102" i="3"/>
  <c r="F88" i="3"/>
  <c r="G75" i="3"/>
  <c r="F67" i="3"/>
  <c r="F97" i="3"/>
  <c r="F73" i="3"/>
  <c r="F95" i="3"/>
  <c r="E88" i="3"/>
  <c r="E82" i="3"/>
  <c r="F106" i="3"/>
  <c r="F76" i="3"/>
  <c r="G80" i="3"/>
  <c r="E98" i="3"/>
  <c r="F69" i="3"/>
  <c r="G99" i="3"/>
  <c r="G95" i="4"/>
  <c r="E92" i="4"/>
  <c r="G54" i="4"/>
  <c r="E25" i="4"/>
  <c r="F37" i="4"/>
  <c r="G32" i="4"/>
  <c r="E73" i="4"/>
  <c r="G46" i="4"/>
  <c r="G24" i="4"/>
  <c r="F79" i="3"/>
  <c r="G77" i="3"/>
  <c r="G92" i="3"/>
  <c r="G103" i="3"/>
  <c r="F92" i="3"/>
  <c r="F86" i="3"/>
  <c r="G67" i="3"/>
  <c r="F102" i="3"/>
  <c r="E73" i="3"/>
  <c r="E94" i="3"/>
  <c r="E91" i="3"/>
  <c r="E86" i="3"/>
  <c r="F94" i="3"/>
  <c r="G93" i="3"/>
  <c r="G97" i="3"/>
  <c r="F75" i="3"/>
  <c r="G84" i="3"/>
  <c r="F78" i="3"/>
  <c r="G100" i="3"/>
  <c r="E95" i="3"/>
  <c r="G89" i="3"/>
  <c r="F72" i="3"/>
  <c r="E89" i="3"/>
  <c r="G71" i="3"/>
  <c r="F91" i="3"/>
  <c r="G76" i="3"/>
  <c r="E14" i="4"/>
  <c r="G47" i="4"/>
  <c r="G77" i="4"/>
  <c r="G104" i="3"/>
  <c r="E79" i="3"/>
  <c r="G85" i="3"/>
  <c r="E15" i="3"/>
  <c r="E12" i="3"/>
  <c r="E5" i="3"/>
  <c r="F37" i="3"/>
  <c r="G45" i="3"/>
  <c r="G24" i="3"/>
  <c r="G27" i="3"/>
  <c r="F19" i="3"/>
  <c r="E22" i="3"/>
  <c r="G44" i="3"/>
  <c r="E41" i="3"/>
  <c r="F39" i="3"/>
  <c r="F21" i="3"/>
  <c r="F26" i="3"/>
  <c r="E36" i="3"/>
  <c r="F13" i="3"/>
  <c r="F27" i="3"/>
  <c r="F49" i="3"/>
  <c r="F18" i="3"/>
  <c r="F20" i="3"/>
  <c r="G31" i="3"/>
  <c r="F29" i="3"/>
  <c r="F38" i="3"/>
  <c r="E33" i="3"/>
  <c r="F40" i="3"/>
  <c r="G20" i="3"/>
  <c r="G12" i="3"/>
  <c r="E51" i="3"/>
  <c r="G34" i="3"/>
  <c r="G28" i="3"/>
  <c r="E48" i="3"/>
  <c r="F33" i="3"/>
  <c r="E28" i="3"/>
  <c r="E42" i="3"/>
  <c r="F14" i="3"/>
  <c r="E37" i="3"/>
  <c r="F24" i="3"/>
  <c r="E34" i="3"/>
  <c r="E17" i="3"/>
  <c r="F44" i="3"/>
  <c r="F47" i="3"/>
  <c r="F34" i="3"/>
  <c r="G47" i="3"/>
  <c r="G37" i="3"/>
  <c r="G23" i="3"/>
  <c r="F25" i="3"/>
  <c r="G39" i="3"/>
  <c r="F35" i="3"/>
  <c r="G17" i="3"/>
  <c r="F45" i="3"/>
  <c r="E44" i="3"/>
  <c r="F32" i="3"/>
  <c r="G21" i="3"/>
  <c r="G41" i="3"/>
  <c r="F15" i="3"/>
  <c r="G36" i="3"/>
  <c r="G18" i="3"/>
  <c r="E43" i="3"/>
  <c r="E25" i="3"/>
  <c r="E39" i="3"/>
  <c r="E49" i="3"/>
  <c r="E46" i="3"/>
  <c r="E16" i="3"/>
  <c r="E47" i="3"/>
  <c r="E21" i="3"/>
  <c r="E31" i="3"/>
  <c r="F46" i="3"/>
  <c r="G26" i="3"/>
  <c r="E19" i="3"/>
  <c r="E24" i="3"/>
  <c r="G32" i="3"/>
  <c r="F17" i="3"/>
  <c r="G38" i="3"/>
  <c r="E23" i="3"/>
  <c r="E20" i="3"/>
  <c r="F51" i="3"/>
  <c r="F43" i="3"/>
  <c r="F36" i="3"/>
  <c r="F41" i="3"/>
  <c r="E40" i="3"/>
  <c r="G48" i="3"/>
  <c r="E30" i="3"/>
  <c r="F16" i="3"/>
  <c r="E26" i="3"/>
  <c r="F50" i="3"/>
  <c r="G14" i="3"/>
  <c r="F22" i="3"/>
  <c r="F28" i="3"/>
  <c r="E32" i="3"/>
  <c r="E45" i="3"/>
  <c r="G30" i="3"/>
  <c r="E5" i="4"/>
  <c r="G81" i="3"/>
  <c r="F101" i="3"/>
  <c r="G74" i="3"/>
  <c r="F90" i="3"/>
  <c r="G73" i="3"/>
  <c r="E71" i="3"/>
  <c r="F77" i="4"/>
  <c r="G48" i="4"/>
  <c r="F56" i="4"/>
  <c r="G18" i="4"/>
  <c r="G11" i="4"/>
  <c r="G40" i="4"/>
  <c r="G88" i="4"/>
  <c r="E60" i="4"/>
  <c r="G17" i="4"/>
  <c r="E46" i="4"/>
  <c r="E94" i="4"/>
  <c r="G66" i="4"/>
  <c r="E83" i="4"/>
  <c r="F39" i="4"/>
  <c r="E39" i="4"/>
  <c r="F100" i="4"/>
  <c r="E104" i="4"/>
  <c r="F12" i="4"/>
  <c r="E54" i="4"/>
  <c r="F64" i="4"/>
  <c r="E62" i="4"/>
  <c r="F85" i="4"/>
  <c r="E102" i="4"/>
  <c r="E55" i="4"/>
  <c r="E89" i="4"/>
  <c r="F20" i="4"/>
  <c r="E4" i="4"/>
  <c r="E77" i="4"/>
  <c r="G94" i="4"/>
  <c r="G93" i="4"/>
  <c r="G25" i="4"/>
  <c r="F57" i="4"/>
  <c r="E99" i="4"/>
  <c r="G26" i="4"/>
  <c r="F95" i="4"/>
  <c r="F87" i="4"/>
  <c r="E69" i="4"/>
  <c r="F66" i="4"/>
  <c r="F34" i="4"/>
  <c r="F30" i="4"/>
  <c r="E36" i="4"/>
  <c r="G86" i="4"/>
  <c r="E17" i="4"/>
  <c r="G23" i="4"/>
  <c r="G31" i="4"/>
  <c r="F49" i="4"/>
  <c r="F102" i="4"/>
  <c r="E34" i="4"/>
  <c r="F13" i="4"/>
  <c r="G64" i="4"/>
  <c r="E64" i="4"/>
  <c r="G13" i="4"/>
  <c r="G69" i="4"/>
  <c r="G81" i="4"/>
  <c r="E52" i="4"/>
  <c r="E18" i="4"/>
  <c r="F31" i="4"/>
  <c r="F62" i="4"/>
  <c r="E42" i="4"/>
  <c r="F83" i="4"/>
  <c r="E96" i="4"/>
  <c r="G52" i="4"/>
  <c r="G90" i="4"/>
  <c r="G19" i="4"/>
  <c r="F24" i="4"/>
  <c r="G105" i="4"/>
  <c r="F98" i="4"/>
  <c r="G41" i="4"/>
  <c r="G99" i="4"/>
  <c r="E86" i="4"/>
  <c r="G58" i="4"/>
  <c r="F105" i="4"/>
  <c r="G74" i="4"/>
  <c r="E76" i="4"/>
  <c r="G53" i="4"/>
  <c r="F44" i="4"/>
  <c r="F23" i="4"/>
  <c r="E88" i="4"/>
  <c r="G96" i="4"/>
  <c r="F47" i="4"/>
  <c r="E79" i="4"/>
  <c r="E91" i="4"/>
  <c r="G96" i="3"/>
  <c r="E97" i="3"/>
  <c r="G87" i="3"/>
  <c r="E104" i="3"/>
  <c r="E99" i="3"/>
  <c r="G106" i="3"/>
  <c r="E101" i="3"/>
  <c r="E70" i="3"/>
  <c r="E80" i="3"/>
  <c r="F71" i="3"/>
  <c r="E93" i="3"/>
  <c r="G82" i="3"/>
  <c r="G70" i="3"/>
  <c r="F103" i="3"/>
  <c r="G101" i="3"/>
  <c r="F83" i="3"/>
  <c r="G91" i="3"/>
  <c r="F99" i="3"/>
  <c r="F80" i="3"/>
  <c r="G68" i="3"/>
  <c r="F77" i="3"/>
  <c r="F68" i="3"/>
  <c r="E87" i="3"/>
  <c r="E90" i="3"/>
  <c r="E68" i="3"/>
  <c r="F105" i="3"/>
  <c r="F74" i="3"/>
  <c r="F70" i="3"/>
  <c r="E103" i="3"/>
  <c r="E96" i="3"/>
  <c r="G69" i="3"/>
  <c r="E76" i="3"/>
  <c r="G98" i="3"/>
  <c r="F85" i="3"/>
  <c r="G102" i="3"/>
  <c r="E60" i="3"/>
  <c r="E72" i="3"/>
  <c r="E78" i="3"/>
  <c r="G105" i="3"/>
  <c r="F100" i="3"/>
  <c r="G94" i="3"/>
  <c r="E84" i="3"/>
  <c r="E100" i="3"/>
  <c r="F104" i="3"/>
  <c r="G79" i="3"/>
  <c r="F93" i="3"/>
  <c r="F96" i="3"/>
  <c r="F98" i="3"/>
  <c r="F87" i="3"/>
  <c r="E105" i="3"/>
  <c r="G88" i="3"/>
  <c r="F84" i="3"/>
  <c r="E81" i="3"/>
  <c r="E69" i="3"/>
  <c r="G86" i="3"/>
  <c r="E75" i="3"/>
  <c r="E67" i="3"/>
  <c r="E85" i="3"/>
  <c r="E77" i="3"/>
  <c r="E106" i="3"/>
  <c r="E7" i="3" l="1"/>
  <c r="I28" i="1" s="1"/>
  <c r="E6" i="4"/>
  <c r="E62" i="3"/>
  <c r="J26" i="1" s="1"/>
  <c r="I38" i="1" l="1"/>
  <c r="F11" i="5"/>
  <c r="F10" i="5"/>
  <c r="I22" i="1"/>
  <c r="J27" i="1"/>
  <c r="I15" i="1"/>
  <c r="I26" i="1"/>
  <c r="K26" i="1" s="1"/>
  <c r="I24" i="1"/>
  <c r="I19" i="1"/>
  <c r="I13" i="1"/>
  <c r="I39" i="1"/>
  <c r="I44" i="1"/>
  <c r="I48" i="1"/>
  <c r="I20" i="1"/>
  <c r="I21" i="1"/>
  <c r="I17" i="1"/>
  <c r="I16" i="1"/>
  <c r="I18" i="1"/>
  <c r="I36" i="1"/>
  <c r="I25" i="1"/>
  <c r="I14" i="1"/>
  <c r="I23" i="1"/>
  <c r="I27" i="1"/>
  <c r="J20" i="1"/>
  <c r="I43" i="1"/>
  <c r="I33" i="1"/>
  <c r="I34" i="1"/>
  <c r="I37" i="1"/>
  <c r="I42" i="1"/>
  <c r="I45" i="1"/>
  <c r="F7" i="5"/>
  <c r="I46" i="1"/>
  <c r="I40" i="1"/>
  <c r="F15" i="5"/>
  <c r="I35" i="1"/>
  <c r="F9" i="5"/>
  <c r="I41" i="1"/>
  <c r="I47" i="1"/>
  <c r="J21" i="1"/>
  <c r="J18" i="1"/>
  <c r="J14" i="1"/>
  <c r="J19" i="1"/>
  <c r="J17" i="1"/>
  <c r="J24" i="1"/>
  <c r="J28" i="1"/>
  <c r="K28" i="1" s="1"/>
  <c r="J25" i="1"/>
  <c r="J13" i="1"/>
  <c r="J22" i="1"/>
  <c r="J16" i="1"/>
  <c r="J23" i="1"/>
  <c r="J15" i="1"/>
  <c r="K15" i="1" l="1"/>
  <c r="K20" i="1"/>
  <c r="K16" i="1"/>
  <c r="K13" i="1"/>
  <c r="K22" i="1"/>
  <c r="K14" i="1"/>
  <c r="K23" i="1"/>
  <c r="K19" i="1"/>
  <c r="K25" i="1"/>
  <c r="K24" i="1"/>
  <c r="K21" i="1"/>
  <c r="K27" i="1"/>
  <c r="K18" i="1"/>
  <c r="K17" i="1"/>
</calcChain>
</file>

<file path=xl/sharedStrings.xml><?xml version="1.0" encoding="utf-8"?>
<sst xmlns="http://schemas.openxmlformats.org/spreadsheetml/2006/main" count="138" uniqueCount="82">
  <si>
    <t>Monthly Indexes</t>
  </si>
  <si>
    <t>Date</t>
  </si>
  <si>
    <t>Diesel</t>
  </si>
  <si>
    <t>Unleaded</t>
  </si>
  <si>
    <t>WORKSHEET FOR DETERMINING FUEL AND ASPHALT BINDER INDEX ADJUSTMENTS</t>
  </si>
  <si>
    <r>
      <t xml:space="preserve">HOW TO USE:  </t>
    </r>
    <r>
      <rPr>
        <sz val="12"/>
        <rFont val="Arial"/>
        <family val="2"/>
      </rPr>
      <t>Select Base Index Date (cell B8) and Current Index Date (cell H8).</t>
    </r>
  </si>
  <si>
    <t>Spreadsheet uses stored index data to calculate and present index adjustments for eligible items of work.</t>
  </si>
  <si>
    <t>Adjustments to be applied in accordance with contract provisions.</t>
  </si>
  <si>
    <t>Select Base Indexes</t>
  </si>
  <si>
    <t>Select Current Indexes</t>
  </si>
  <si>
    <t>Asphalt Binder</t>
  </si>
  <si>
    <t xml:space="preserve">                                                                               </t>
  </si>
  <si>
    <t>Items of Work Eligible for Fuel Adjustments *</t>
  </si>
  <si>
    <t xml:space="preserve">Unit </t>
  </si>
  <si>
    <t>Gallons Per Unit</t>
  </si>
  <si>
    <t>Monetary Adjustment per Unit</t>
  </si>
  <si>
    <t>Combined</t>
  </si>
  <si>
    <t>Excavation (Unclassified, Borrow, etc.)</t>
  </si>
  <si>
    <t>CY</t>
  </si>
  <si>
    <t>Embankment in Place</t>
  </si>
  <si>
    <t>SY</t>
  </si>
  <si>
    <t>Graded Aggregate Base Course 6" Uniform</t>
  </si>
  <si>
    <t>Graded Aggregate Base Course 8" Uniform</t>
  </si>
  <si>
    <t>Hot Mix Asphalt (Base, Binder, Surface Courses)</t>
  </si>
  <si>
    <t>TON</t>
  </si>
  <si>
    <t>Portland Cement Concrete Pavements</t>
  </si>
  <si>
    <t>Structural Concrete</t>
  </si>
  <si>
    <t>Reinforced Concrete Pipe (24" or less)</t>
  </si>
  <si>
    <t>LF</t>
  </si>
  <si>
    <t>Reinforced Concrete Pipe (greater than 24")</t>
  </si>
  <si>
    <t>* Eligible for index adjustment when specified in contract.</t>
  </si>
  <si>
    <t>Items of Work Eligible for A.C. Binder Adjustments *</t>
  </si>
  <si>
    <t>AC Binder Tons 
per Unit</t>
  </si>
  <si>
    <t>Monetary Adjustment 
per Unit (for AC Binder)</t>
  </si>
  <si>
    <t>Liquid Asphalt Binder (PG64-22)</t>
  </si>
  <si>
    <t>Liquid Asphalt Binder (PG76-22)</t>
  </si>
  <si>
    <t>Base Index Chart and Index Change for Diesel Fuel</t>
  </si>
  <si>
    <t>Base Index Value</t>
  </si>
  <si>
    <t>Current Index Value</t>
  </si>
  <si>
    <t>Index Change Value</t>
  </si>
  <si>
    <t>DECREASE</t>
  </si>
  <si>
    <t>INCREASE</t>
  </si>
  <si>
    <t>Base Index Chart and Index Change for Unleaded Fuel</t>
  </si>
  <si>
    <t>Base Index Chart and Index Change for Asphalt Cement Binder</t>
  </si>
  <si>
    <t>Adjustments per Square Yard of Bituminous Surfacing</t>
  </si>
  <si>
    <t>Asphalt Binder Base Index</t>
  </si>
  <si>
    <t>Asphalt Binder Current Index</t>
  </si>
  <si>
    <t>Bituminous Surfacing Type</t>
  </si>
  <si>
    <t>Unit</t>
  </si>
  <si>
    <t>Minimum Gallons of Liquid per SY</t>
  </si>
  <si>
    <t>Tons of A.C. Binder per SY</t>
  </si>
  <si>
    <t>Adjustment per Square Yard</t>
  </si>
  <si>
    <t>Single Treatment</t>
  </si>
  <si>
    <t>Double Treatment</t>
  </si>
  <si>
    <t>Asphalt Surface Treatment</t>
  </si>
  <si>
    <t>Emulsion for High Performance Chip Seal (Macrosurfacing)</t>
  </si>
  <si>
    <t>Gal</t>
  </si>
  <si>
    <t xml:space="preserve">   Triple Treatment</t>
  </si>
  <si>
    <t>Graded Aggregate Base Course 10" Uniform</t>
  </si>
  <si>
    <t>Borrow Excavation - Lightweight</t>
  </si>
  <si>
    <t>Type A</t>
  </si>
  <si>
    <t>Type B</t>
  </si>
  <si>
    <t>Type C</t>
  </si>
  <si>
    <t>Full Depth Asphalt Pavement Patching - 4" (Fuel)</t>
  </si>
  <si>
    <t>Full Depth Asphalt Pavement Patching - 6" (Fuel)</t>
  </si>
  <si>
    <t>Full Depth Asphalt Pavement Patching - 8" (Fuel)</t>
  </si>
  <si>
    <t>Full Depth Asphalt Pavement Patching - 10" (Fuel)</t>
  </si>
  <si>
    <t>Full Depth Asphalt Pavement Patching - 12" (Fuel)</t>
  </si>
  <si>
    <t>Full Depth Asphalt Pavement Patching - 4" (AC Binder)</t>
  </si>
  <si>
    <t>Full Depth Asphalt Pavement Patching - 6" (AC Binder)</t>
  </si>
  <si>
    <t>Full Depth Asphalt Pavement Patching - 8" (AC Binder)</t>
  </si>
  <si>
    <t>Full Depth Asphalt Pavement Patching - 10" (AC Binder)</t>
  </si>
  <si>
    <t>Full Depth Asphalt Pavement Patching - 12" (AC Binder)</t>
  </si>
  <si>
    <t>Microsurfacing Surface Course</t>
  </si>
  <si>
    <t>Microsurfacing Leveling/Rut Fill</t>
  </si>
  <si>
    <t>Preventative Maintenance Thin Lift Seal Course (80 psy @ 6.5% AC)</t>
  </si>
  <si>
    <t>Asph Surf Trmt - Double Treatment - Type A (0.55 gals/sy emulsion)</t>
  </si>
  <si>
    <t>Asph Surf Trmt - Double Treatment - Type B (0.46 gals/sy emulsion)</t>
  </si>
  <si>
    <t>Asph Surf Trmt - Double Treatment - Type C (0.48 gals/sy emulsion)</t>
  </si>
  <si>
    <t>Asph Surf Trmt - Single Treatment (0.28 gals/sy emulsion)</t>
  </si>
  <si>
    <t xml:space="preserve"> </t>
  </si>
  <si>
    <t>Asph Surf Trmt - Triple Treatment (0.71 gal/sy emulsion)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</si>
</sst>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00"/>
    <numFmt numFmtId="166" formatCode="#,##0.0000_);\(#,##0.0000\)"/>
    <numFmt numFmtId="167" formatCode="&quot;$&quot;#,##0.00"/>
    <numFmt numFmtId="168" formatCode="&quot;$&quot;#,##0.00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theme="0" tint="-4.9989318521683403E-2"/>
      </right>
      <top style="thick">
        <color indexed="64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indexed="64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indexed="64"/>
      </right>
      <top style="thick">
        <color indexed="64"/>
      </top>
      <bottom style="thick">
        <color theme="0" tint="-4.9989318521683403E-2"/>
      </bottom>
      <diagonal/>
    </border>
    <border>
      <left style="thick">
        <color indexed="64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indexed="64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indexed="64"/>
      </left>
      <right style="thick">
        <color theme="0" tint="-4.9989318521683403E-2"/>
      </right>
      <top style="thick">
        <color theme="0" tint="-4.9989318521683403E-2"/>
      </top>
      <bottom style="thick">
        <color indexed="64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indexed="64"/>
      </bottom>
      <diagonal/>
    </border>
    <border>
      <left style="thick">
        <color theme="0" tint="-4.9989318521683403E-2"/>
      </left>
      <right style="thick">
        <color indexed="64"/>
      </right>
      <top style="thick">
        <color theme="0" tint="-4.9989318521683403E-2"/>
      </top>
      <bottom style="thick">
        <color indexed="64"/>
      </bottom>
      <diagonal/>
    </border>
  </borders>
  <cellStyleXfs count="106">
    <xf numFmtId="0" fontId="0" fillId="0" borderId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3" fillId="0" borderId="0"/>
    <xf numFmtId="0" fontId="39" fillId="0" borderId="0"/>
    <xf numFmtId="43" fontId="24" fillId="0" borderId="0" applyFont="0" applyFill="0" applyBorder="0" applyAlignment="0" applyProtection="0"/>
    <xf numFmtId="0" fontId="22" fillId="0" borderId="0"/>
    <xf numFmtId="0" fontId="21" fillId="0" borderId="0"/>
    <xf numFmtId="0" fontId="24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44" fontId="7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83">
    <xf numFmtId="0" fontId="0" fillId="0" borderId="0" xfId="0"/>
    <xf numFmtId="0" fontId="0" fillId="2" borderId="0" xfId="0" applyFill="1"/>
    <xf numFmtId="0" fontId="0" fillId="2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15" fontId="0" fillId="3" borderId="0" xfId="0" applyNumberFormat="1" applyFill="1" applyProtection="1">
      <protection hidden="1"/>
    </xf>
    <xf numFmtId="164" fontId="24" fillId="3" borderId="0" xfId="2" applyNumberFormat="1" applyFill="1" applyProtection="1">
      <protection hidden="1"/>
    </xf>
    <xf numFmtId="15" fontId="0" fillId="4" borderId="9" xfId="0" applyNumberFormat="1" applyFill="1" applyBorder="1" applyAlignment="1" applyProtection="1">
      <alignment horizontal="center"/>
      <protection locked="0"/>
    </xf>
    <xf numFmtId="15" fontId="0" fillId="0" borderId="9" xfId="0" applyNumberFormat="1" applyBorder="1" applyAlignment="1" applyProtection="1">
      <alignment horizontal="center"/>
      <protection locked="0"/>
    </xf>
    <xf numFmtId="0" fontId="0" fillId="3" borderId="0" xfId="0" applyFill="1"/>
    <xf numFmtId="0" fontId="0" fillId="3" borderId="0" xfId="0" applyFill="1" applyProtection="1">
      <protection hidden="1"/>
    </xf>
    <xf numFmtId="0" fontId="0" fillId="2" borderId="17" xfId="0" applyFill="1" applyBorder="1" applyProtection="1">
      <protection hidden="1"/>
    </xf>
    <xf numFmtId="0" fontId="0" fillId="2" borderId="18" xfId="0" applyFill="1" applyBorder="1" applyProtection="1">
      <protection hidden="1"/>
    </xf>
    <xf numFmtId="168" fontId="24" fillId="3" borderId="9" xfId="2" applyNumberFormat="1" applyFill="1" applyBorder="1" applyProtection="1">
      <protection hidden="1"/>
    </xf>
    <xf numFmtId="168" fontId="24" fillId="3" borderId="19" xfId="2" applyNumberFormat="1" applyFill="1" applyBorder="1" applyProtection="1">
      <protection hidden="1"/>
    </xf>
    <xf numFmtId="168" fontId="24" fillId="5" borderId="9" xfId="2" applyNumberFormat="1" applyFill="1" applyBorder="1" applyProtection="1">
      <protection hidden="1"/>
    </xf>
    <xf numFmtId="0" fontId="0" fillId="2" borderId="20" xfId="0" applyFill="1" applyBorder="1" applyProtection="1">
      <protection hidden="1"/>
    </xf>
    <xf numFmtId="168" fontId="24" fillId="2" borderId="20" xfId="2" applyNumberFormat="1" applyFill="1" applyBorder="1" applyProtection="1">
      <protection hidden="1"/>
    </xf>
    <xf numFmtId="168" fontId="24" fillId="2" borderId="21" xfId="2" applyNumberFormat="1" applyFill="1" applyBorder="1" applyProtection="1">
      <protection hidden="1"/>
    </xf>
    <xf numFmtId="0" fontId="0" fillId="2" borderId="22" xfId="0" applyFill="1" applyBorder="1" applyProtection="1">
      <protection hidden="1"/>
    </xf>
    <xf numFmtId="168" fontId="24" fillId="2" borderId="22" xfId="2" applyNumberFormat="1" applyFill="1" applyBorder="1" applyProtection="1">
      <protection hidden="1"/>
    </xf>
    <xf numFmtId="168" fontId="24" fillId="2" borderId="23" xfId="2" applyNumberFormat="1" applyFill="1" applyBorder="1" applyProtection="1">
      <protection hidden="1"/>
    </xf>
    <xf numFmtId="0" fontId="0" fillId="2" borderId="24" xfId="0" applyFill="1" applyBorder="1" applyProtection="1">
      <protection hidden="1"/>
    </xf>
    <xf numFmtId="168" fontId="24" fillId="2" borderId="24" xfId="2" applyNumberFormat="1" applyFill="1" applyBorder="1" applyProtection="1">
      <protection hidden="1"/>
    </xf>
    <xf numFmtId="168" fontId="24" fillId="2" borderId="25" xfId="2" applyNumberFormat="1" applyFill="1" applyBorder="1" applyProtection="1">
      <protection hidden="1"/>
    </xf>
    <xf numFmtId="0" fontId="0" fillId="3" borderId="0" xfId="0" applyFill="1" applyAlignment="1" applyProtection="1">
      <alignment horizontal="center" vertical="center" textRotation="255"/>
      <protection hidden="1"/>
    </xf>
    <xf numFmtId="168" fontId="24" fillId="3" borderId="0" xfId="2" applyNumberFormat="1" applyFill="1" applyBorder="1" applyProtection="1">
      <protection hidden="1"/>
    </xf>
    <xf numFmtId="167" fontId="24" fillId="3" borderId="9" xfId="2" applyNumberFormat="1" applyFill="1" applyBorder="1" applyProtection="1">
      <protection hidden="1"/>
    </xf>
    <xf numFmtId="167" fontId="24" fillId="5" borderId="9" xfId="2" applyNumberFormat="1" applyFill="1" applyBorder="1" applyProtection="1">
      <protection hidden="1"/>
    </xf>
    <xf numFmtId="167" fontId="24" fillId="2" borderId="22" xfId="2" applyNumberFormat="1" applyFill="1" applyBorder="1" applyProtection="1">
      <protection hidden="1"/>
    </xf>
    <xf numFmtId="0" fontId="0" fillId="2" borderId="0" xfId="0" applyFill="1" applyAlignment="1">
      <alignment horizontal="right"/>
    </xf>
    <xf numFmtId="44" fontId="0" fillId="0" borderId="9" xfId="2" applyFont="1" applyFill="1" applyBorder="1"/>
    <xf numFmtId="0" fontId="32" fillId="2" borderId="9" xfId="0" applyFont="1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 wrapText="1"/>
    </xf>
    <xf numFmtId="44" fontId="0" fillId="2" borderId="9" xfId="2" applyFont="1" applyFill="1" applyBorder="1"/>
    <xf numFmtId="168" fontId="24" fillId="2" borderId="20" xfId="2" applyNumberFormat="1" applyFont="1" applyFill="1" applyBorder="1" applyProtection="1">
      <protection hidden="1"/>
    </xf>
    <xf numFmtId="168" fontId="24" fillId="2" borderId="26" xfId="2" applyNumberFormat="1" applyFont="1" applyFill="1" applyBorder="1" applyProtection="1">
      <protection hidden="1"/>
    </xf>
    <xf numFmtId="168" fontId="24" fillId="2" borderId="22" xfId="2" applyNumberFormat="1" applyFont="1" applyFill="1" applyBorder="1" applyProtection="1">
      <protection hidden="1"/>
    </xf>
    <xf numFmtId="0" fontId="0" fillId="2" borderId="27" xfId="0" applyFill="1" applyBorder="1" applyProtection="1">
      <protection hidden="1"/>
    </xf>
    <xf numFmtId="168" fontId="24" fillId="2" borderId="28" xfId="2" applyNumberFormat="1" applyFont="1" applyFill="1" applyBorder="1" applyProtection="1">
      <protection hidden="1"/>
    </xf>
    <xf numFmtId="168" fontId="24" fillId="2" borderId="27" xfId="2" applyNumberFormat="1" applyFill="1" applyBorder="1" applyProtection="1">
      <protection hidden="1"/>
    </xf>
    <xf numFmtId="168" fontId="24" fillId="2" borderId="29" xfId="2" applyNumberFormat="1" applyFill="1" applyBorder="1" applyProtection="1">
      <protection hidden="1"/>
    </xf>
    <xf numFmtId="0" fontId="0" fillId="2" borderId="30" xfId="0" applyFill="1" applyBorder="1" applyProtection="1">
      <protection hidden="1"/>
    </xf>
    <xf numFmtId="168" fontId="24" fillId="2" borderId="30" xfId="2" applyNumberFormat="1" applyFont="1" applyFill="1" applyBorder="1" applyProtection="1">
      <protection hidden="1"/>
    </xf>
    <xf numFmtId="168" fontId="24" fillId="2" borderId="30" xfId="2" applyNumberFormat="1" applyFill="1" applyBorder="1" applyProtection="1">
      <protection hidden="1"/>
    </xf>
    <xf numFmtId="168" fontId="24" fillId="2" borderId="31" xfId="2" applyNumberFormat="1" applyFill="1" applyBorder="1" applyProtection="1">
      <protection hidden="1"/>
    </xf>
    <xf numFmtId="0" fontId="0" fillId="2" borderId="32" xfId="0" applyFill="1" applyBorder="1" applyProtection="1">
      <protection hidden="1"/>
    </xf>
    <xf numFmtId="0" fontId="0" fillId="2" borderId="33" xfId="0" applyFill="1" applyBorder="1" applyProtection="1">
      <protection hidden="1"/>
    </xf>
    <xf numFmtId="0" fontId="0" fillId="2" borderId="34" xfId="0" applyFill="1" applyBorder="1" applyProtection="1">
      <protection hidden="1"/>
    </xf>
    <xf numFmtId="0" fontId="0" fillId="2" borderId="35" xfId="0" applyFill="1" applyBorder="1" applyProtection="1">
      <protection hidden="1"/>
    </xf>
    <xf numFmtId="0" fontId="0" fillId="2" borderId="36" xfId="0" applyFill="1" applyBorder="1" applyProtection="1">
      <protection hidden="1"/>
    </xf>
    <xf numFmtId="168" fontId="24" fillId="2" borderId="24" xfId="2" applyNumberFormat="1" applyFont="1" applyFill="1" applyBorder="1" applyProtection="1">
      <protection hidden="1"/>
    </xf>
    <xf numFmtId="0" fontId="0" fillId="2" borderId="26" xfId="0" applyFill="1" applyBorder="1" applyProtection="1">
      <protection hidden="1"/>
    </xf>
    <xf numFmtId="0" fontId="0" fillId="2" borderId="37" xfId="0" applyFill="1" applyBorder="1" applyProtection="1">
      <protection hidden="1"/>
    </xf>
    <xf numFmtId="0" fontId="0" fillId="2" borderId="38" xfId="0" applyFill="1" applyBorder="1" applyProtection="1">
      <protection hidden="1"/>
    </xf>
    <xf numFmtId="0" fontId="0" fillId="2" borderId="39" xfId="0" applyFill="1" applyBorder="1" applyProtection="1">
      <protection hidden="1"/>
    </xf>
    <xf numFmtId="167" fontId="24" fillId="2" borderId="37" xfId="2" applyNumberFormat="1" applyFill="1" applyBorder="1" applyProtection="1">
      <protection hidden="1"/>
    </xf>
    <xf numFmtId="8" fontId="24" fillId="3" borderId="0" xfId="2" applyNumberFormat="1" applyFill="1" applyProtection="1">
      <protection hidden="1"/>
    </xf>
    <xf numFmtId="0" fontId="24" fillId="2" borderId="0" xfId="0" applyFont="1" applyFill="1" applyProtection="1">
      <protection hidden="1"/>
    </xf>
    <xf numFmtId="0" fontId="0" fillId="2" borderId="40" xfId="0" applyFill="1" applyBorder="1" applyProtection="1">
      <protection hidden="1"/>
    </xf>
    <xf numFmtId="167" fontId="24" fillId="2" borderId="30" xfId="2" applyNumberFormat="1" applyFill="1" applyBorder="1" applyProtection="1">
      <protection hidden="1"/>
    </xf>
    <xf numFmtId="0" fontId="0" fillId="2" borderId="41" xfId="0" applyFill="1" applyBorder="1" applyProtection="1">
      <protection hidden="1"/>
    </xf>
    <xf numFmtId="167" fontId="24" fillId="2" borderId="42" xfId="2" applyNumberFormat="1" applyFill="1" applyBorder="1" applyProtection="1">
      <protection hidden="1"/>
    </xf>
    <xf numFmtId="167" fontId="24" fillId="2" borderId="43" xfId="2" applyNumberFormat="1" applyFont="1" applyFill="1" applyBorder="1" applyProtection="1">
      <protection hidden="1"/>
    </xf>
    <xf numFmtId="167" fontId="24" fillId="2" borderId="43" xfId="2" applyNumberFormat="1" applyFill="1" applyBorder="1" applyProtection="1">
      <protection hidden="1"/>
    </xf>
    <xf numFmtId="167" fontId="24" fillId="2" borderId="44" xfId="2" applyNumberFormat="1" applyFill="1" applyBorder="1" applyProtection="1">
      <protection hidden="1"/>
    </xf>
    <xf numFmtId="167" fontId="24" fillId="2" borderId="45" xfId="2" applyNumberFormat="1" applyFill="1" applyBorder="1" applyProtection="1">
      <protection hidden="1"/>
    </xf>
    <xf numFmtId="0" fontId="0" fillId="2" borderId="46" xfId="0" applyFill="1" applyBorder="1" applyProtection="1">
      <protection hidden="1"/>
    </xf>
    <xf numFmtId="164" fontId="24" fillId="0" borderId="0" xfId="2" applyNumberFormat="1" applyFill="1" applyProtection="1">
      <protection hidden="1"/>
    </xf>
    <xf numFmtId="0" fontId="33" fillId="2" borderId="47" xfId="0" applyFont="1" applyFill="1" applyBorder="1" applyAlignment="1">
      <alignment horizontal="left"/>
    </xf>
    <xf numFmtId="0" fontId="0" fillId="2" borderId="47" xfId="0" applyFill="1" applyBorder="1"/>
    <xf numFmtId="44" fontId="0" fillId="2" borderId="47" xfId="2" applyFont="1" applyFill="1" applyBorder="1"/>
    <xf numFmtId="0" fontId="0" fillId="2" borderId="9" xfId="0" applyFill="1" applyBorder="1" applyAlignment="1">
      <alignment horizontal="left" indent="1"/>
    </xf>
    <xf numFmtId="0" fontId="0" fillId="2" borderId="9" xfId="0" applyFill="1" applyBorder="1" applyAlignment="1">
      <alignment horizontal="center"/>
    </xf>
    <xf numFmtId="0" fontId="34" fillId="2" borderId="5" xfId="0" applyFont="1" applyFill="1" applyBorder="1" applyAlignment="1">
      <alignment horizontal="left"/>
    </xf>
    <xf numFmtId="0" fontId="0" fillId="2" borderId="6" xfId="0" applyFill="1" applyBorder="1"/>
    <xf numFmtId="44" fontId="0" fillId="2" borderId="7" xfId="2" applyFont="1" applyFill="1" applyBorder="1"/>
    <xf numFmtId="0" fontId="0" fillId="6" borderId="0" xfId="0" applyFill="1"/>
    <xf numFmtId="0" fontId="0" fillId="7" borderId="68" xfId="0" applyFill="1" applyBorder="1"/>
    <xf numFmtId="0" fontId="26" fillId="7" borderId="69" xfId="0" applyFont="1" applyFill="1" applyBorder="1"/>
    <xf numFmtId="0" fontId="0" fillId="7" borderId="69" xfId="0" applyFill="1" applyBorder="1"/>
    <xf numFmtId="0" fontId="0" fillId="7" borderId="70" xfId="0" applyFill="1" applyBorder="1"/>
    <xf numFmtId="0" fontId="0" fillId="7" borderId="71" xfId="0" applyFill="1" applyBorder="1"/>
    <xf numFmtId="0" fontId="27" fillId="7" borderId="72" xfId="0" applyFont="1" applyFill="1" applyBorder="1" applyAlignment="1">
      <alignment horizontal="left" indent="2"/>
    </xf>
    <xf numFmtId="0" fontId="0" fillId="7" borderId="72" xfId="0" applyFill="1" applyBorder="1"/>
    <xf numFmtId="0" fontId="0" fillId="7" borderId="73" xfId="0" applyFill="1" applyBorder="1"/>
    <xf numFmtId="0" fontId="28" fillId="7" borderId="72" xfId="0" applyFont="1" applyFill="1" applyBorder="1" applyAlignment="1">
      <alignment horizontal="left" indent="2"/>
    </xf>
    <xf numFmtId="0" fontId="0" fillId="7" borderId="74" xfId="0" applyFill="1" applyBorder="1"/>
    <xf numFmtId="0" fontId="28" fillId="7" borderId="75" xfId="0" applyFont="1" applyFill="1" applyBorder="1" applyAlignment="1">
      <alignment horizontal="left" indent="2"/>
    </xf>
    <xf numFmtId="0" fontId="0" fillId="7" borderId="75" xfId="0" applyFill="1" applyBorder="1"/>
    <xf numFmtId="0" fontId="0" fillId="7" borderId="76" xfId="0" applyFill="1" applyBorder="1"/>
    <xf numFmtId="0" fontId="0" fillId="7" borderId="1" xfId="0" applyFill="1" applyBorder="1"/>
    <xf numFmtId="0" fontId="0" fillId="7" borderId="4" xfId="0" applyFill="1" applyBorder="1"/>
    <xf numFmtId="0" fontId="0" fillId="7" borderId="10" xfId="0" applyFill="1" applyBorder="1"/>
    <xf numFmtId="0" fontId="0" fillId="7" borderId="2" xfId="0" applyFill="1" applyBorder="1"/>
    <xf numFmtId="0" fontId="0" fillId="7" borderId="0" xfId="0" applyFill="1"/>
    <xf numFmtId="0" fontId="0" fillId="7" borderId="11" xfId="0" applyFill="1" applyBorder="1"/>
    <xf numFmtId="0" fontId="0" fillId="7" borderId="3" xfId="0" applyFill="1" applyBorder="1"/>
    <xf numFmtId="0" fontId="0" fillId="7" borderId="8" xfId="0" applyFill="1" applyBorder="1"/>
    <xf numFmtId="0" fontId="0" fillId="7" borderId="12" xfId="0" applyFill="1" applyBorder="1"/>
    <xf numFmtId="165" fontId="0" fillId="7" borderId="11" xfId="0" applyNumberFormat="1" applyFill="1" applyBorder="1"/>
    <xf numFmtId="0" fontId="36" fillId="8" borderId="9" xfId="0" applyFont="1" applyFill="1" applyBorder="1" applyAlignment="1">
      <alignment horizontal="center" wrapText="1"/>
    </xf>
    <xf numFmtId="0" fontId="36" fillId="8" borderId="9" xfId="0" applyFont="1" applyFill="1" applyBorder="1" applyAlignment="1">
      <alignment horizontal="center"/>
    </xf>
    <xf numFmtId="44" fontId="0" fillId="6" borderId="7" xfId="2" applyFont="1" applyFill="1" applyBorder="1" applyAlignment="1">
      <alignment horizontal="center"/>
    </xf>
    <xf numFmtId="164" fontId="0" fillId="6" borderId="7" xfId="2" applyNumberFormat="1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39" fontId="0" fillId="6" borderId="9" xfId="1" applyNumberFormat="1" applyFont="1" applyFill="1" applyBorder="1" applyAlignment="1">
      <alignment horizontal="center"/>
    </xf>
    <xf numFmtId="44" fontId="0" fillId="6" borderId="9" xfId="2" applyFont="1" applyFill="1" applyBorder="1" applyAlignment="1">
      <alignment horizontal="center"/>
    </xf>
    <xf numFmtId="0" fontId="0" fillId="6" borderId="47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7" xfId="0" applyFill="1" applyBorder="1" applyAlignment="1">
      <alignment horizontal="center"/>
    </xf>
    <xf numFmtId="0" fontId="0" fillId="6" borderId="9" xfId="0" applyFill="1" applyBorder="1" applyAlignment="1">
      <alignment horizontal="left"/>
    </xf>
    <xf numFmtId="0" fontId="37" fillId="8" borderId="9" xfId="0" applyFont="1" applyFill="1" applyBorder="1" applyAlignment="1">
      <alignment horizontal="center" wrapText="1"/>
    </xf>
    <xf numFmtId="0" fontId="37" fillId="8" borderId="9" xfId="0" applyFont="1" applyFill="1" applyBorder="1" applyAlignment="1">
      <alignment horizontal="center"/>
    </xf>
    <xf numFmtId="0" fontId="31" fillId="7" borderId="13" xfId="0" applyFont="1" applyFill="1" applyBorder="1" applyAlignment="1">
      <alignment horizontal="left" vertical="top"/>
    </xf>
    <xf numFmtId="0" fontId="0" fillId="7" borderId="14" xfId="0" applyFill="1" applyBorder="1"/>
    <xf numFmtId="0" fontId="0" fillId="7" borderId="15" xfId="0" applyFill="1" applyBorder="1"/>
    <xf numFmtId="0" fontId="31" fillId="7" borderId="0" xfId="0" applyFont="1" applyFill="1" applyAlignment="1">
      <alignment horizontal="left"/>
    </xf>
    <xf numFmtId="0" fontId="0" fillId="7" borderId="0" xfId="0" applyFill="1" applyAlignment="1">
      <alignment horizontal="left"/>
    </xf>
    <xf numFmtId="0" fontId="0" fillId="7" borderId="0" xfId="0" applyFill="1" applyAlignment="1">
      <alignment horizontal="center"/>
    </xf>
    <xf numFmtId="166" fontId="0" fillId="7" borderId="0" xfId="1" applyNumberFormat="1" applyFont="1" applyFill="1" applyBorder="1" applyAlignment="1">
      <alignment horizontal="center"/>
    </xf>
    <xf numFmtId="167" fontId="0" fillId="7" borderId="0" xfId="2" applyNumberFormat="1" applyFont="1" applyFill="1" applyBorder="1" applyAlignment="1">
      <alignment horizontal="center"/>
    </xf>
    <xf numFmtId="0" fontId="38" fillId="7" borderId="16" xfId="0" applyFont="1" applyFill="1" applyBorder="1" applyAlignment="1">
      <alignment horizontal="center"/>
    </xf>
    <xf numFmtId="0" fontId="29" fillId="7" borderId="0" xfId="0" applyFont="1" applyFill="1"/>
    <xf numFmtId="0" fontId="29" fillId="7" borderId="8" xfId="0" applyFont="1" applyFill="1" applyBorder="1"/>
    <xf numFmtId="0" fontId="34" fillId="6" borderId="9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/>
    </xf>
    <xf numFmtId="0" fontId="24" fillId="6" borderId="47" xfId="0" applyFont="1" applyFill="1" applyBorder="1" applyAlignment="1">
      <alignment horizontal="left"/>
    </xf>
    <xf numFmtId="167" fontId="0" fillId="6" borderId="5" xfId="2" applyNumberFormat="1" applyFont="1" applyFill="1" applyBorder="1" applyAlignment="1">
      <alignment horizontal="center"/>
    </xf>
    <xf numFmtId="167" fontId="0" fillId="6" borderId="7" xfId="2" applyNumberFormat="1" applyFont="1" applyFill="1" applyBorder="1" applyAlignment="1">
      <alignment horizontal="center"/>
    </xf>
    <xf numFmtId="0" fontId="37" fillId="8" borderId="9" xfId="0" applyFont="1" applyFill="1" applyBorder="1" applyAlignment="1">
      <alignment horizontal="center" wrapText="1"/>
    </xf>
    <xf numFmtId="0" fontId="24" fillId="6" borderId="5" xfId="0" applyFont="1" applyFill="1" applyBorder="1" applyAlignment="1">
      <alignment horizontal="left" wrapText="1"/>
    </xf>
    <xf numFmtId="0" fontId="0" fillId="6" borderId="6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166" fontId="0" fillId="6" borderId="6" xfId="1" applyNumberFormat="1" applyFont="1" applyFill="1" applyBorder="1" applyAlignment="1">
      <alignment horizontal="center"/>
    </xf>
    <xf numFmtId="166" fontId="0" fillId="6" borderId="7" xfId="1" applyNumberFormat="1" applyFont="1" applyFill="1" applyBorder="1" applyAlignment="1">
      <alignment horizontal="center"/>
    </xf>
    <xf numFmtId="166" fontId="0" fillId="6" borderId="5" xfId="1" applyNumberFormat="1" applyFont="1" applyFill="1" applyBorder="1" applyAlignment="1">
      <alignment horizontal="center"/>
    </xf>
    <xf numFmtId="166" fontId="24" fillId="6" borderId="5" xfId="1" applyNumberFormat="1" applyFont="1" applyFill="1" applyBorder="1" applyAlignment="1">
      <alignment horizontal="center"/>
    </xf>
    <xf numFmtId="166" fontId="24" fillId="6" borderId="7" xfId="1" applyNumberFormat="1" applyFont="1" applyFill="1" applyBorder="1" applyAlignment="1">
      <alignment horizontal="center"/>
    </xf>
    <xf numFmtId="0" fontId="0" fillId="6" borderId="5" xfId="0" applyFill="1" applyBorder="1" applyAlignment="1">
      <alignment horizontal="left"/>
    </xf>
    <xf numFmtId="0" fontId="0" fillId="6" borderId="9" xfId="0" applyFill="1" applyBorder="1" applyAlignment="1">
      <alignment horizontal="left"/>
    </xf>
    <xf numFmtId="166" fontId="0" fillId="6" borderId="9" xfId="1" applyNumberFormat="1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37" fillId="8" borderId="9" xfId="0" applyFont="1" applyFill="1" applyBorder="1" applyAlignment="1">
      <alignment horizontal="center"/>
    </xf>
    <xf numFmtId="0" fontId="37" fillId="8" borderId="48" xfId="0" applyFont="1" applyFill="1" applyBorder="1" applyAlignment="1">
      <alignment horizontal="center" wrapText="1"/>
    </xf>
    <xf numFmtId="0" fontId="37" fillId="8" borderId="49" xfId="0" applyFont="1" applyFill="1" applyBorder="1" applyAlignment="1">
      <alignment horizontal="center" wrapText="1"/>
    </xf>
    <xf numFmtId="0" fontId="37" fillId="8" borderId="50" xfId="0" applyFont="1" applyFill="1" applyBorder="1" applyAlignment="1">
      <alignment horizontal="center" wrapText="1"/>
    </xf>
    <xf numFmtId="0" fontId="37" fillId="8" borderId="51" xfId="0" applyFont="1" applyFill="1" applyBorder="1" applyAlignment="1">
      <alignment horizontal="center" wrapText="1"/>
    </xf>
    <xf numFmtId="0" fontId="37" fillId="8" borderId="52" xfId="0" applyFont="1" applyFill="1" applyBorder="1" applyAlignment="1">
      <alignment horizontal="center" wrapText="1"/>
    </xf>
    <xf numFmtId="0" fontId="37" fillId="8" borderId="53" xfId="0" applyFont="1" applyFill="1" applyBorder="1" applyAlignment="1">
      <alignment horizontal="center" wrapText="1"/>
    </xf>
    <xf numFmtId="0" fontId="35" fillId="8" borderId="5" xfId="0" applyFont="1" applyFill="1" applyBorder="1" applyAlignment="1">
      <alignment horizontal="left" indent="1"/>
    </xf>
    <xf numFmtId="0" fontId="35" fillId="8" borderId="6" xfId="0" applyFont="1" applyFill="1" applyBorder="1" applyAlignment="1">
      <alignment horizontal="left" indent="1"/>
    </xf>
    <xf numFmtId="0" fontId="35" fillId="8" borderId="7" xfId="0" applyFont="1" applyFill="1" applyBorder="1" applyAlignment="1">
      <alignment horizontal="left" indent="1"/>
    </xf>
    <xf numFmtId="0" fontId="30" fillId="7" borderId="0" xfId="0" applyFont="1" applyFill="1" applyAlignment="1">
      <alignment horizontal="center" wrapText="1"/>
    </xf>
    <xf numFmtId="0" fontId="25" fillId="3" borderId="0" xfId="0" applyFont="1" applyFill="1" applyAlignment="1" applyProtection="1">
      <alignment horizontal="center"/>
      <protection hidden="1"/>
    </xf>
    <xf numFmtId="0" fontId="27" fillId="2" borderId="61" xfId="0" applyFont="1" applyFill="1" applyBorder="1" applyAlignment="1" applyProtection="1">
      <alignment horizontal="center"/>
      <protection hidden="1"/>
    </xf>
    <xf numFmtId="0" fontId="27" fillId="2" borderId="62" xfId="0" applyFont="1" applyFill="1" applyBorder="1" applyAlignment="1" applyProtection="1">
      <alignment horizontal="center"/>
      <protection hidden="1"/>
    </xf>
    <xf numFmtId="0" fontId="27" fillId="2" borderId="63" xfId="0" applyFont="1" applyFill="1" applyBorder="1" applyAlignment="1" applyProtection="1">
      <alignment horizontal="center"/>
      <protection hidden="1"/>
    </xf>
    <xf numFmtId="0" fontId="0" fillId="3" borderId="48" xfId="0" applyFill="1" applyBorder="1" applyAlignment="1" applyProtection="1">
      <alignment horizontal="left"/>
      <protection hidden="1"/>
    </xf>
    <xf numFmtId="0" fontId="0" fillId="3" borderId="49" xfId="0" applyFill="1" applyBorder="1" applyAlignment="1" applyProtection="1">
      <alignment horizontal="left"/>
      <protection hidden="1"/>
    </xf>
    <xf numFmtId="0" fontId="0" fillId="3" borderId="16" xfId="0" applyFill="1" applyBorder="1" applyAlignment="1" applyProtection="1">
      <alignment horizontal="left"/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3" borderId="51" xfId="0" applyFill="1" applyBorder="1" applyAlignment="1" applyProtection="1">
      <alignment horizontal="left"/>
      <protection hidden="1"/>
    </xf>
    <xf numFmtId="0" fontId="0" fillId="3" borderId="52" xfId="0" applyFill="1" applyBorder="1" applyAlignment="1" applyProtection="1">
      <alignment horizontal="left"/>
      <protection hidden="1"/>
    </xf>
    <xf numFmtId="0" fontId="0" fillId="2" borderId="54" xfId="0" applyFill="1" applyBorder="1" applyAlignment="1" applyProtection="1">
      <alignment horizontal="center" vertical="center" textRotation="255"/>
      <protection hidden="1"/>
    </xf>
    <xf numFmtId="0" fontId="0" fillId="2" borderId="55" xfId="0" applyFill="1" applyBorder="1" applyAlignment="1" applyProtection="1">
      <alignment horizontal="center" vertical="center" textRotation="255"/>
      <protection hidden="1"/>
    </xf>
    <xf numFmtId="0" fontId="0" fillId="2" borderId="56" xfId="0" applyFill="1" applyBorder="1" applyAlignment="1" applyProtection="1">
      <alignment horizontal="center" vertical="center" textRotation="255"/>
      <protection hidden="1"/>
    </xf>
    <xf numFmtId="0" fontId="0" fillId="2" borderId="57" xfId="0" applyFill="1" applyBorder="1" applyAlignment="1" applyProtection="1">
      <alignment horizontal="center" vertical="center" textRotation="255"/>
      <protection hidden="1"/>
    </xf>
    <xf numFmtId="0" fontId="0" fillId="2" borderId="58" xfId="0" applyFill="1" applyBorder="1" applyAlignment="1" applyProtection="1">
      <alignment horizontal="center" vertical="center" textRotation="255"/>
      <protection hidden="1"/>
    </xf>
    <xf numFmtId="0" fontId="0" fillId="2" borderId="59" xfId="0" applyFill="1" applyBorder="1" applyAlignment="1" applyProtection="1">
      <alignment horizontal="center" vertical="center" textRotation="255"/>
      <protection hidden="1"/>
    </xf>
    <xf numFmtId="0" fontId="0" fillId="2" borderId="60" xfId="0" applyFill="1" applyBorder="1" applyAlignment="1" applyProtection="1">
      <alignment horizontal="center" vertical="center" textRotation="255"/>
      <protection hidden="1"/>
    </xf>
    <xf numFmtId="0" fontId="28" fillId="2" borderId="47" xfId="0" applyFont="1" applyFill="1" applyBorder="1" applyAlignment="1" applyProtection="1">
      <alignment horizontal="center" vertical="center" textRotation="255"/>
      <protection hidden="1"/>
    </xf>
    <xf numFmtId="0" fontId="28" fillId="2" borderId="64" xfId="0" applyFont="1" applyFill="1" applyBorder="1" applyAlignment="1" applyProtection="1">
      <alignment horizontal="center" vertical="center" textRotation="255"/>
      <protection hidden="1"/>
    </xf>
    <xf numFmtId="0" fontId="0" fillId="0" borderId="64" xfId="0" applyBorder="1"/>
    <xf numFmtId="0" fontId="0" fillId="0" borderId="19" xfId="0" applyBorder="1"/>
    <xf numFmtId="0" fontId="28" fillId="2" borderId="65" xfId="0" applyFont="1" applyFill="1" applyBorder="1" applyAlignment="1" applyProtection="1">
      <alignment horizontal="center" vertical="center" textRotation="255"/>
      <protection hidden="1"/>
    </xf>
    <xf numFmtId="0" fontId="28" fillId="2" borderId="66" xfId="0" applyFont="1" applyFill="1" applyBorder="1" applyAlignment="1" applyProtection="1">
      <alignment horizontal="center" vertical="center" textRotation="255"/>
      <protection hidden="1"/>
    </xf>
    <xf numFmtId="0" fontId="28" fillId="2" borderId="67" xfId="0" applyFont="1" applyFill="1" applyBorder="1" applyAlignment="1" applyProtection="1">
      <alignment horizontal="center" vertical="center" textRotation="255"/>
      <protection hidden="1"/>
    </xf>
    <xf numFmtId="0" fontId="27" fillId="2" borderId="61" xfId="0" applyFont="1" applyFill="1" applyBorder="1" applyAlignment="1" applyProtection="1">
      <alignment horizontal="center" wrapText="1"/>
      <protection hidden="1"/>
    </xf>
    <xf numFmtId="0" fontId="27" fillId="2" borderId="62" xfId="0" applyFont="1" applyFill="1" applyBorder="1" applyAlignment="1" applyProtection="1">
      <alignment horizontal="center" wrapText="1"/>
      <protection hidden="1"/>
    </xf>
    <xf numFmtId="0" fontId="27" fillId="2" borderId="63" xfId="0" applyFont="1" applyFill="1" applyBorder="1" applyAlignment="1" applyProtection="1">
      <alignment horizontal="center" wrapText="1"/>
      <protection hidden="1"/>
    </xf>
    <xf numFmtId="0" fontId="27" fillId="2" borderId="0" xfId="0" applyFont="1" applyFill="1" applyAlignment="1">
      <alignment horizontal="center"/>
    </xf>
  </cellXfs>
  <cellStyles count="106">
    <cellStyle name="Comma" xfId="1" builtinId="3"/>
    <cellStyle name="Comma 2" xfId="5" xr:uid="{00000000-0005-0000-0000-000001000000}"/>
    <cellStyle name="Currency" xfId="2" builtinId="4"/>
    <cellStyle name="Currency 2" xfId="23" xr:uid="{00000000-0005-0000-0000-000003000000}"/>
    <cellStyle name="Currency 2 2" xfId="47" xr:uid="{00000000-0005-0000-0000-000004000000}"/>
    <cellStyle name="Currency 2 2 2" xfId="97" xr:uid="{00000000-0005-0000-0000-000005000000}"/>
    <cellStyle name="Currency 2 3" xfId="73" xr:uid="{00000000-0005-0000-0000-000006000000}"/>
    <cellStyle name="Currency 3" xfId="25" xr:uid="{00000000-0005-0000-0000-000007000000}"/>
    <cellStyle name="Currency 3 2" xfId="49" xr:uid="{00000000-0005-0000-0000-000008000000}"/>
    <cellStyle name="Currency 3 2 2" xfId="99" xr:uid="{00000000-0005-0000-0000-000009000000}"/>
    <cellStyle name="Currency 3 3" xfId="75" xr:uid="{00000000-0005-0000-0000-00000A000000}"/>
    <cellStyle name="Currency 4" xfId="27" xr:uid="{00000000-0005-0000-0000-00000B000000}"/>
    <cellStyle name="Currency 4 2" xfId="51" xr:uid="{00000000-0005-0000-0000-00000C000000}"/>
    <cellStyle name="Currency 4 2 2" xfId="101" xr:uid="{00000000-0005-0000-0000-00000D000000}"/>
    <cellStyle name="Currency 4 3" xfId="77" xr:uid="{00000000-0005-0000-0000-00000E000000}"/>
    <cellStyle name="Currency 5" xfId="29" xr:uid="{00000000-0005-0000-0000-00000F000000}"/>
    <cellStyle name="Currency 5 2" xfId="53" xr:uid="{00000000-0005-0000-0000-000010000000}"/>
    <cellStyle name="Currency 5 2 2" xfId="103" xr:uid="{00000000-0005-0000-0000-000011000000}"/>
    <cellStyle name="Currency 5 3" xfId="79" xr:uid="{00000000-0005-0000-0000-000012000000}"/>
    <cellStyle name="Currency 6" xfId="55" xr:uid="{00000000-0005-0000-0000-000013000000}"/>
    <cellStyle name="Currency 6 2" xfId="105" xr:uid="{00000000-0005-0000-0000-000014000000}"/>
    <cellStyle name="Normal" xfId="0" builtinId="0"/>
    <cellStyle name="Normal 10" xfId="13" xr:uid="{00000000-0005-0000-0000-000016000000}"/>
    <cellStyle name="Normal 10 2" xfId="37" xr:uid="{00000000-0005-0000-0000-000017000000}"/>
    <cellStyle name="Normal 10 2 2" xfId="87" xr:uid="{00000000-0005-0000-0000-000018000000}"/>
    <cellStyle name="Normal 10 3" xfId="63" xr:uid="{00000000-0005-0000-0000-000019000000}"/>
    <cellStyle name="Normal 11" xfId="14" xr:uid="{00000000-0005-0000-0000-00001A000000}"/>
    <cellStyle name="Normal 11 2" xfId="38" xr:uid="{00000000-0005-0000-0000-00001B000000}"/>
    <cellStyle name="Normal 11 2 2" xfId="88" xr:uid="{00000000-0005-0000-0000-00001C000000}"/>
    <cellStyle name="Normal 11 3" xfId="64" xr:uid="{00000000-0005-0000-0000-00001D000000}"/>
    <cellStyle name="Normal 12" xfId="15" xr:uid="{00000000-0005-0000-0000-00001E000000}"/>
    <cellStyle name="Normal 12 2" xfId="39" xr:uid="{00000000-0005-0000-0000-00001F000000}"/>
    <cellStyle name="Normal 12 2 2" xfId="89" xr:uid="{00000000-0005-0000-0000-000020000000}"/>
    <cellStyle name="Normal 12 3" xfId="65" xr:uid="{00000000-0005-0000-0000-000021000000}"/>
    <cellStyle name="Normal 13" xfId="16" xr:uid="{00000000-0005-0000-0000-000022000000}"/>
    <cellStyle name="Normal 13 2" xfId="40" xr:uid="{00000000-0005-0000-0000-000023000000}"/>
    <cellStyle name="Normal 13 2 2" xfId="90" xr:uid="{00000000-0005-0000-0000-000024000000}"/>
    <cellStyle name="Normal 13 3" xfId="66" xr:uid="{00000000-0005-0000-0000-000025000000}"/>
    <cellStyle name="Normal 14" xfId="17" xr:uid="{00000000-0005-0000-0000-000026000000}"/>
    <cellStyle name="Normal 14 2" xfId="41" xr:uid="{00000000-0005-0000-0000-000027000000}"/>
    <cellStyle name="Normal 14 2 2" xfId="91" xr:uid="{00000000-0005-0000-0000-000028000000}"/>
    <cellStyle name="Normal 14 3" xfId="67" xr:uid="{00000000-0005-0000-0000-000029000000}"/>
    <cellStyle name="Normal 15" xfId="18" xr:uid="{00000000-0005-0000-0000-00002A000000}"/>
    <cellStyle name="Normal 15 2" xfId="42" xr:uid="{00000000-0005-0000-0000-00002B000000}"/>
    <cellStyle name="Normal 15 2 2" xfId="92" xr:uid="{00000000-0005-0000-0000-00002C000000}"/>
    <cellStyle name="Normal 15 3" xfId="68" xr:uid="{00000000-0005-0000-0000-00002D000000}"/>
    <cellStyle name="Normal 16" xfId="19" xr:uid="{00000000-0005-0000-0000-00002E000000}"/>
    <cellStyle name="Normal 16 2" xfId="43" xr:uid="{00000000-0005-0000-0000-00002F000000}"/>
    <cellStyle name="Normal 16 2 2" xfId="93" xr:uid="{00000000-0005-0000-0000-000030000000}"/>
    <cellStyle name="Normal 16 3" xfId="69" xr:uid="{00000000-0005-0000-0000-000031000000}"/>
    <cellStyle name="Normal 17" xfId="20" xr:uid="{00000000-0005-0000-0000-000032000000}"/>
    <cellStyle name="Normal 17 2" xfId="44" xr:uid="{00000000-0005-0000-0000-000033000000}"/>
    <cellStyle name="Normal 17 2 2" xfId="94" xr:uid="{00000000-0005-0000-0000-000034000000}"/>
    <cellStyle name="Normal 17 3" xfId="70" xr:uid="{00000000-0005-0000-0000-000035000000}"/>
    <cellStyle name="Normal 18" xfId="21" xr:uid="{00000000-0005-0000-0000-000036000000}"/>
    <cellStyle name="Normal 18 2" xfId="45" xr:uid="{00000000-0005-0000-0000-000037000000}"/>
    <cellStyle name="Normal 18 2 2" xfId="95" xr:uid="{00000000-0005-0000-0000-000038000000}"/>
    <cellStyle name="Normal 18 3" xfId="71" xr:uid="{00000000-0005-0000-0000-000039000000}"/>
    <cellStyle name="Normal 19" xfId="22" xr:uid="{00000000-0005-0000-0000-00003A000000}"/>
    <cellStyle name="Normal 19 2" xfId="46" xr:uid="{00000000-0005-0000-0000-00003B000000}"/>
    <cellStyle name="Normal 19 2 2" xfId="96" xr:uid="{00000000-0005-0000-0000-00003C000000}"/>
    <cellStyle name="Normal 19 3" xfId="72" xr:uid="{00000000-0005-0000-0000-00003D000000}"/>
    <cellStyle name="Normal 2" xfId="4" xr:uid="{00000000-0005-0000-0000-00003E000000}"/>
    <cellStyle name="Normal 2 2" xfId="8" xr:uid="{00000000-0005-0000-0000-00003F000000}"/>
    <cellStyle name="Normal 20" xfId="24" xr:uid="{00000000-0005-0000-0000-000040000000}"/>
    <cellStyle name="Normal 20 2" xfId="48" xr:uid="{00000000-0005-0000-0000-000041000000}"/>
    <cellStyle name="Normal 20 2 2" xfId="98" xr:uid="{00000000-0005-0000-0000-000042000000}"/>
    <cellStyle name="Normal 20 3" xfId="74" xr:uid="{00000000-0005-0000-0000-000043000000}"/>
    <cellStyle name="Normal 21" xfId="26" xr:uid="{00000000-0005-0000-0000-000044000000}"/>
    <cellStyle name="Normal 21 2" xfId="50" xr:uid="{00000000-0005-0000-0000-000045000000}"/>
    <cellStyle name="Normal 21 2 2" xfId="100" xr:uid="{00000000-0005-0000-0000-000046000000}"/>
    <cellStyle name="Normal 21 3" xfId="76" xr:uid="{00000000-0005-0000-0000-000047000000}"/>
    <cellStyle name="Normal 22" xfId="28" xr:uid="{00000000-0005-0000-0000-000048000000}"/>
    <cellStyle name="Normal 22 2" xfId="52" xr:uid="{00000000-0005-0000-0000-000049000000}"/>
    <cellStyle name="Normal 22 2 2" xfId="102" xr:uid="{00000000-0005-0000-0000-00004A000000}"/>
    <cellStyle name="Normal 22 3" xfId="78" xr:uid="{00000000-0005-0000-0000-00004B000000}"/>
    <cellStyle name="Normal 23" xfId="54" xr:uid="{00000000-0005-0000-0000-00004C000000}"/>
    <cellStyle name="Normal 23 2" xfId="104" xr:uid="{00000000-0005-0000-0000-00004D000000}"/>
    <cellStyle name="Normal 3" xfId="3" xr:uid="{00000000-0005-0000-0000-00004E000000}"/>
    <cellStyle name="Normal 3 2" xfId="30" xr:uid="{00000000-0005-0000-0000-00004F000000}"/>
    <cellStyle name="Normal 3 2 2" xfId="80" xr:uid="{00000000-0005-0000-0000-000050000000}"/>
    <cellStyle name="Normal 3 3" xfId="56" xr:uid="{00000000-0005-0000-0000-000051000000}"/>
    <cellStyle name="Normal 4" xfId="6" xr:uid="{00000000-0005-0000-0000-000052000000}"/>
    <cellStyle name="Normal 4 2" xfId="31" xr:uid="{00000000-0005-0000-0000-000053000000}"/>
    <cellStyle name="Normal 4 2 2" xfId="81" xr:uid="{00000000-0005-0000-0000-000054000000}"/>
    <cellStyle name="Normal 4 3" xfId="57" xr:uid="{00000000-0005-0000-0000-000055000000}"/>
    <cellStyle name="Normal 5" xfId="7" xr:uid="{00000000-0005-0000-0000-000056000000}"/>
    <cellStyle name="Normal 5 2" xfId="32" xr:uid="{00000000-0005-0000-0000-000057000000}"/>
    <cellStyle name="Normal 5 2 2" xfId="82" xr:uid="{00000000-0005-0000-0000-000058000000}"/>
    <cellStyle name="Normal 5 3" xfId="58" xr:uid="{00000000-0005-0000-0000-000059000000}"/>
    <cellStyle name="Normal 6" xfId="9" xr:uid="{00000000-0005-0000-0000-00005A000000}"/>
    <cellStyle name="Normal 6 2" xfId="33" xr:uid="{00000000-0005-0000-0000-00005B000000}"/>
    <cellStyle name="Normal 6 2 2" xfId="83" xr:uid="{00000000-0005-0000-0000-00005C000000}"/>
    <cellStyle name="Normal 6 3" xfId="59" xr:uid="{00000000-0005-0000-0000-00005D000000}"/>
    <cellStyle name="Normal 7" xfId="10" xr:uid="{00000000-0005-0000-0000-00005E000000}"/>
    <cellStyle name="Normal 7 2" xfId="34" xr:uid="{00000000-0005-0000-0000-00005F000000}"/>
    <cellStyle name="Normal 7 2 2" xfId="84" xr:uid="{00000000-0005-0000-0000-000060000000}"/>
    <cellStyle name="Normal 7 3" xfId="60" xr:uid="{00000000-0005-0000-0000-000061000000}"/>
    <cellStyle name="Normal 8" xfId="11" xr:uid="{00000000-0005-0000-0000-000062000000}"/>
    <cellStyle name="Normal 8 2" xfId="35" xr:uid="{00000000-0005-0000-0000-000063000000}"/>
    <cellStyle name="Normal 8 2 2" xfId="85" xr:uid="{00000000-0005-0000-0000-000064000000}"/>
    <cellStyle name="Normal 8 3" xfId="61" xr:uid="{00000000-0005-0000-0000-000065000000}"/>
    <cellStyle name="Normal 9" xfId="12" xr:uid="{00000000-0005-0000-0000-000066000000}"/>
    <cellStyle name="Normal 9 2" xfId="36" xr:uid="{00000000-0005-0000-0000-000067000000}"/>
    <cellStyle name="Normal 9 2 2" xfId="86" xr:uid="{00000000-0005-0000-0000-000068000000}"/>
    <cellStyle name="Normal 9 3" xfId="62" xr:uid="{00000000-0005-0000-0000-000069000000}"/>
  </cellStyles>
  <dxfs count="3"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94"/>
  <sheetViews>
    <sheetView tabSelected="1" zoomScaleNormal="100" workbookViewId="0">
      <selection activeCell="H8" sqref="H8"/>
    </sheetView>
  </sheetViews>
  <sheetFormatPr defaultRowHeight="12.75" x14ac:dyDescent="0.2"/>
  <cols>
    <col min="1" max="1" width="7.140625" customWidth="1"/>
    <col min="2" max="4" width="13.7109375" customWidth="1"/>
    <col min="5" max="5" width="20.140625" customWidth="1"/>
    <col min="6" max="6" width="8" customWidth="1"/>
    <col min="7" max="8" width="11.7109375" customWidth="1"/>
    <col min="9" max="9" width="13.5703125" customWidth="1"/>
    <col min="10" max="11" width="12.7109375" customWidth="1"/>
  </cols>
  <sheetData>
    <row r="1" spans="1:33" ht="19.5" thickTop="1" thickBot="1" x14ac:dyDescent="0.3">
      <c r="A1" s="78"/>
      <c r="B1" s="79" t="s">
        <v>4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1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</row>
    <row r="2" spans="1:33" ht="17.25" thickTop="1" thickBot="1" x14ac:dyDescent="0.3">
      <c r="A2" s="82"/>
      <c r="B2" s="83" t="s">
        <v>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</row>
    <row r="3" spans="1:33" ht="16.5" thickTop="1" thickBot="1" x14ac:dyDescent="0.25">
      <c r="A3" s="82"/>
      <c r="B3" s="86" t="s">
        <v>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</row>
    <row r="4" spans="1:33" ht="16.5" thickTop="1" thickBot="1" x14ac:dyDescent="0.25">
      <c r="A4" s="87"/>
      <c r="B4" s="88" t="s">
        <v>7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90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</row>
    <row r="5" spans="1:33" ht="13.5" thickTop="1" x14ac:dyDescent="0.2">
      <c r="A5" s="91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</row>
    <row r="6" spans="1:33" ht="18" x14ac:dyDescent="0.25">
      <c r="A6" s="92"/>
      <c r="B6" s="151" t="s">
        <v>8</v>
      </c>
      <c r="C6" s="152"/>
      <c r="D6" s="152"/>
      <c r="E6" s="153"/>
      <c r="F6" s="95"/>
      <c r="G6" s="95"/>
      <c r="H6" s="151" t="s">
        <v>9</v>
      </c>
      <c r="I6" s="152"/>
      <c r="J6" s="152"/>
      <c r="K6" s="153"/>
      <c r="L6" s="95"/>
      <c r="M6" s="98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</row>
    <row r="7" spans="1:33" x14ac:dyDescent="0.2">
      <c r="A7" s="92"/>
      <c r="B7" s="101" t="s">
        <v>1</v>
      </c>
      <c r="C7" s="102" t="s">
        <v>10</v>
      </c>
      <c r="D7" s="102" t="s">
        <v>2</v>
      </c>
      <c r="E7" s="102" t="s">
        <v>3</v>
      </c>
      <c r="F7" s="95"/>
      <c r="G7" s="95"/>
      <c r="H7" s="101" t="s">
        <v>1</v>
      </c>
      <c r="I7" s="102" t="s">
        <v>10</v>
      </c>
      <c r="J7" s="102" t="s">
        <v>2</v>
      </c>
      <c r="K7" s="102" t="s">
        <v>3</v>
      </c>
      <c r="L7" s="154"/>
      <c r="M7" s="98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</row>
    <row r="8" spans="1:33" x14ac:dyDescent="0.2">
      <c r="A8" s="92"/>
      <c r="B8" s="6">
        <v>45839</v>
      </c>
      <c r="C8" s="103">
        <f>VLOOKUP(B8,MaintainIndexes,2,FALSE)</f>
        <v>587.75</v>
      </c>
      <c r="D8" s="104">
        <f>VLOOKUP($B8,MaintainIndexes,3,FALSE)</f>
        <v>2.6627999999999998</v>
      </c>
      <c r="E8" s="104">
        <f>VLOOKUP($B8,MaintainIndexes,4,FALSE)</f>
        <v>2.3357999999999999</v>
      </c>
      <c r="F8" s="95"/>
      <c r="G8" s="95" t="s">
        <v>11</v>
      </c>
      <c r="H8" s="7">
        <v>45839</v>
      </c>
      <c r="I8" s="103">
        <f>VLOOKUP(H8,MaintainIndexes,2,FALSE)</f>
        <v>587.75</v>
      </c>
      <c r="J8" s="104">
        <f>VLOOKUP($H8,MaintainIndexes,3,FALSE)</f>
        <v>2.6627999999999998</v>
      </c>
      <c r="K8" s="104">
        <f>VLOOKUP($H8,MaintainIndexes,4,FALSE)</f>
        <v>2.3357999999999999</v>
      </c>
      <c r="L8" s="154"/>
      <c r="M8" s="9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</row>
    <row r="9" spans="1:33" ht="13.5" thickBot="1" x14ac:dyDescent="0.25">
      <c r="A9" s="93"/>
      <c r="B9" s="96"/>
      <c r="C9" s="96"/>
      <c r="D9" s="100"/>
      <c r="E9" s="100"/>
      <c r="F9" s="96"/>
      <c r="G9" s="96"/>
      <c r="H9" s="96"/>
      <c r="I9" s="96"/>
      <c r="J9" s="96"/>
      <c r="K9" s="96"/>
      <c r="L9" s="96"/>
      <c r="M9" s="99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</row>
    <row r="10" spans="1:33" ht="13.5" thickTop="1" x14ac:dyDescent="0.2">
      <c r="A10" s="92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8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</row>
    <row r="11" spans="1:33" x14ac:dyDescent="0.2">
      <c r="A11" s="92"/>
      <c r="B11" s="144" t="s">
        <v>12</v>
      </c>
      <c r="C11" s="144"/>
      <c r="D11" s="144"/>
      <c r="E11" s="144"/>
      <c r="F11" s="144" t="s">
        <v>13</v>
      </c>
      <c r="G11" s="144" t="s">
        <v>14</v>
      </c>
      <c r="H11" s="144"/>
      <c r="I11" s="144" t="s">
        <v>15</v>
      </c>
      <c r="J11" s="144"/>
      <c r="K11" s="144"/>
      <c r="L11" s="95"/>
      <c r="M11" s="98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</row>
    <row r="12" spans="1:33" x14ac:dyDescent="0.2">
      <c r="A12" s="92"/>
      <c r="B12" s="144"/>
      <c r="C12" s="144"/>
      <c r="D12" s="144"/>
      <c r="E12" s="144"/>
      <c r="F12" s="144"/>
      <c r="G12" s="113" t="s">
        <v>2</v>
      </c>
      <c r="H12" s="113" t="s">
        <v>3</v>
      </c>
      <c r="I12" s="114" t="s">
        <v>2</v>
      </c>
      <c r="J12" s="114" t="s">
        <v>3</v>
      </c>
      <c r="K12" s="114" t="s">
        <v>16</v>
      </c>
      <c r="L12" s="95"/>
      <c r="M12" s="98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</row>
    <row r="13" spans="1:33" x14ac:dyDescent="0.2">
      <c r="A13" s="92"/>
      <c r="B13" s="141" t="s">
        <v>17</v>
      </c>
      <c r="C13" s="141"/>
      <c r="D13" s="141"/>
      <c r="E13" s="141"/>
      <c r="F13" s="105" t="s">
        <v>18</v>
      </c>
      <c r="G13" s="106">
        <v>0.28999999999999998</v>
      </c>
      <c r="H13" s="106">
        <v>0.15</v>
      </c>
      <c r="I13" s="107">
        <f t="shared" ref="I13:I27" si="0">ROUND(G13*DieselChange,2)</f>
        <v>0</v>
      </c>
      <c r="J13" s="107">
        <f>ROUND(H13*UnleadedChange,2)</f>
        <v>0</v>
      </c>
      <c r="K13" s="107">
        <f>I13+J13</f>
        <v>0</v>
      </c>
      <c r="L13" s="95"/>
      <c r="M13" s="98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</row>
    <row r="14" spans="1:33" x14ac:dyDescent="0.2">
      <c r="A14" s="92"/>
      <c r="B14" s="141" t="s">
        <v>19</v>
      </c>
      <c r="C14" s="141"/>
      <c r="D14" s="141"/>
      <c r="E14" s="141"/>
      <c r="F14" s="105" t="s">
        <v>18</v>
      </c>
      <c r="G14" s="106">
        <v>0.28999999999999998</v>
      </c>
      <c r="H14" s="106">
        <v>0.15</v>
      </c>
      <c r="I14" s="107">
        <f t="shared" si="0"/>
        <v>0</v>
      </c>
      <c r="J14" s="107">
        <f t="shared" ref="J14:J27" si="1">ROUND(H14*UnleadedChange,2)</f>
        <v>0</v>
      </c>
      <c r="K14" s="107">
        <f t="shared" ref="K14:K27" si="2">I14+J14</f>
        <v>0</v>
      </c>
      <c r="L14" s="95"/>
      <c r="M14" s="98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</row>
    <row r="15" spans="1:33" x14ac:dyDescent="0.2">
      <c r="A15" s="92"/>
      <c r="B15" s="141" t="s">
        <v>21</v>
      </c>
      <c r="C15" s="141"/>
      <c r="D15" s="141"/>
      <c r="E15" s="141"/>
      <c r="F15" s="105" t="s">
        <v>20</v>
      </c>
      <c r="G15" s="106">
        <v>0.1</v>
      </c>
      <c r="H15" s="106">
        <v>0.06</v>
      </c>
      <c r="I15" s="107">
        <f t="shared" si="0"/>
        <v>0</v>
      </c>
      <c r="J15" s="107">
        <f t="shared" si="1"/>
        <v>0</v>
      </c>
      <c r="K15" s="107">
        <f t="shared" si="2"/>
        <v>0</v>
      </c>
      <c r="L15" s="95"/>
      <c r="M15" s="98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</row>
    <row r="16" spans="1:33" x14ac:dyDescent="0.2">
      <c r="A16" s="92"/>
      <c r="B16" s="141" t="s">
        <v>22</v>
      </c>
      <c r="C16" s="141"/>
      <c r="D16" s="141"/>
      <c r="E16" s="141"/>
      <c r="F16" s="105" t="s">
        <v>20</v>
      </c>
      <c r="G16" s="106">
        <v>0.13</v>
      </c>
      <c r="H16" s="106">
        <v>0.06</v>
      </c>
      <c r="I16" s="107">
        <f t="shared" si="0"/>
        <v>0</v>
      </c>
      <c r="J16" s="107">
        <f t="shared" si="1"/>
        <v>0</v>
      </c>
      <c r="K16" s="107">
        <f t="shared" si="2"/>
        <v>0</v>
      </c>
      <c r="L16" s="95"/>
      <c r="M16" s="9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</row>
    <row r="17" spans="1:33" x14ac:dyDescent="0.2">
      <c r="A17" s="92"/>
      <c r="B17" s="141" t="s">
        <v>58</v>
      </c>
      <c r="C17" s="141"/>
      <c r="D17" s="141"/>
      <c r="E17" s="141"/>
      <c r="F17" s="105" t="s">
        <v>20</v>
      </c>
      <c r="G17" s="106">
        <v>0.16</v>
      </c>
      <c r="H17" s="106">
        <v>0.1</v>
      </c>
      <c r="I17" s="107">
        <f>ROUND(G17*DieselChange,2)</f>
        <v>0</v>
      </c>
      <c r="J17" s="107">
        <f>ROUND(H17*UnleadedChange,2)</f>
        <v>0</v>
      </c>
      <c r="K17" s="107">
        <f>I17+J17</f>
        <v>0</v>
      </c>
      <c r="L17" s="95"/>
      <c r="M17" s="98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</row>
    <row r="18" spans="1:33" x14ac:dyDescent="0.2">
      <c r="A18" s="92"/>
      <c r="B18" s="141" t="s">
        <v>23</v>
      </c>
      <c r="C18" s="141"/>
      <c r="D18" s="141"/>
      <c r="E18" s="141"/>
      <c r="F18" s="105" t="s">
        <v>24</v>
      </c>
      <c r="G18" s="106">
        <v>2.9</v>
      </c>
      <c r="H18" s="106">
        <v>0.71</v>
      </c>
      <c r="I18" s="107">
        <f t="shared" si="0"/>
        <v>0</v>
      </c>
      <c r="J18" s="107">
        <f t="shared" si="1"/>
        <v>0</v>
      </c>
      <c r="K18" s="107">
        <f t="shared" si="2"/>
        <v>0</v>
      </c>
      <c r="L18" s="95"/>
      <c r="M18" s="98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</row>
    <row r="19" spans="1:33" x14ac:dyDescent="0.2">
      <c r="A19" s="92"/>
      <c r="B19" s="141" t="s">
        <v>63</v>
      </c>
      <c r="C19" s="141"/>
      <c r="D19" s="141"/>
      <c r="E19" s="141"/>
      <c r="F19" s="105" t="s">
        <v>20</v>
      </c>
      <c r="G19" s="106">
        <v>0.64</v>
      </c>
      <c r="H19" s="106">
        <v>0.16</v>
      </c>
      <c r="I19" s="107">
        <f t="shared" si="0"/>
        <v>0</v>
      </c>
      <c r="J19" s="107">
        <f t="shared" si="1"/>
        <v>0</v>
      </c>
      <c r="K19" s="107">
        <f t="shared" si="2"/>
        <v>0</v>
      </c>
      <c r="L19" s="95"/>
      <c r="M19" s="98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</row>
    <row r="20" spans="1:33" x14ac:dyDescent="0.2">
      <c r="A20" s="92"/>
      <c r="B20" s="141" t="s">
        <v>64</v>
      </c>
      <c r="C20" s="141"/>
      <c r="D20" s="141"/>
      <c r="E20" s="141"/>
      <c r="F20" s="105" t="s">
        <v>20</v>
      </c>
      <c r="G20" s="106">
        <v>0.96</v>
      </c>
      <c r="H20" s="106">
        <v>0.23</v>
      </c>
      <c r="I20" s="107">
        <f t="shared" si="0"/>
        <v>0</v>
      </c>
      <c r="J20" s="107">
        <f t="shared" si="1"/>
        <v>0</v>
      </c>
      <c r="K20" s="107">
        <f t="shared" si="2"/>
        <v>0</v>
      </c>
      <c r="L20" s="95"/>
      <c r="M20" s="98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</row>
    <row r="21" spans="1:33" x14ac:dyDescent="0.2">
      <c r="A21" s="92"/>
      <c r="B21" s="141" t="s">
        <v>65</v>
      </c>
      <c r="C21" s="141"/>
      <c r="D21" s="141"/>
      <c r="E21" s="141"/>
      <c r="F21" s="105" t="s">
        <v>20</v>
      </c>
      <c r="G21" s="106">
        <v>1.28</v>
      </c>
      <c r="H21" s="106">
        <v>0.31</v>
      </c>
      <c r="I21" s="107">
        <f t="shared" si="0"/>
        <v>0</v>
      </c>
      <c r="J21" s="107">
        <f t="shared" si="1"/>
        <v>0</v>
      </c>
      <c r="K21" s="107">
        <f t="shared" si="2"/>
        <v>0</v>
      </c>
      <c r="L21" s="95"/>
      <c r="M21" s="98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</row>
    <row r="22" spans="1:33" x14ac:dyDescent="0.2">
      <c r="A22" s="92"/>
      <c r="B22" s="141" t="s">
        <v>66</v>
      </c>
      <c r="C22" s="141"/>
      <c r="D22" s="141"/>
      <c r="E22" s="141"/>
      <c r="F22" s="105" t="s">
        <v>20</v>
      </c>
      <c r="G22" s="106">
        <v>1.6</v>
      </c>
      <c r="H22" s="106">
        <v>0.39</v>
      </c>
      <c r="I22" s="107">
        <f t="shared" si="0"/>
        <v>0</v>
      </c>
      <c r="J22" s="107">
        <f t="shared" si="1"/>
        <v>0</v>
      </c>
      <c r="K22" s="107">
        <f t="shared" si="2"/>
        <v>0</v>
      </c>
      <c r="L22" s="95"/>
      <c r="M22" s="98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</row>
    <row r="23" spans="1:33" x14ac:dyDescent="0.2">
      <c r="A23" s="92"/>
      <c r="B23" s="141" t="s">
        <v>67</v>
      </c>
      <c r="C23" s="141"/>
      <c r="D23" s="141"/>
      <c r="E23" s="141"/>
      <c r="F23" s="105" t="s">
        <v>20</v>
      </c>
      <c r="G23" s="106">
        <v>1.91</v>
      </c>
      <c r="H23" s="106">
        <v>0.47</v>
      </c>
      <c r="I23" s="107">
        <f t="shared" si="0"/>
        <v>0</v>
      </c>
      <c r="J23" s="107">
        <f t="shared" si="1"/>
        <v>0</v>
      </c>
      <c r="K23" s="107">
        <f t="shared" si="2"/>
        <v>0</v>
      </c>
      <c r="L23" s="95"/>
      <c r="M23" s="98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</row>
    <row r="24" spans="1:33" x14ac:dyDescent="0.2">
      <c r="A24" s="92"/>
      <c r="B24" s="141" t="s">
        <v>25</v>
      </c>
      <c r="C24" s="141"/>
      <c r="D24" s="141"/>
      <c r="E24" s="141"/>
      <c r="F24" s="105" t="s">
        <v>20</v>
      </c>
      <c r="G24" s="106">
        <v>0.25</v>
      </c>
      <c r="H24" s="106">
        <v>0.2</v>
      </c>
      <c r="I24" s="107">
        <f t="shared" si="0"/>
        <v>0</v>
      </c>
      <c r="J24" s="107">
        <f t="shared" si="1"/>
        <v>0</v>
      </c>
      <c r="K24" s="107">
        <f t="shared" si="2"/>
        <v>0</v>
      </c>
      <c r="L24" s="95"/>
      <c r="M24" s="98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</row>
    <row r="25" spans="1:33" x14ac:dyDescent="0.2">
      <c r="A25" s="92"/>
      <c r="B25" s="141" t="s">
        <v>26</v>
      </c>
      <c r="C25" s="141"/>
      <c r="D25" s="141"/>
      <c r="E25" s="141"/>
      <c r="F25" s="105" t="s">
        <v>18</v>
      </c>
      <c r="G25" s="106">
        <v>1</v>
      </c>
      <c r="H25" s="106">
        <v>0.2</v>
      </c>
      <c r="I25" s="107">
        <f t="shared" si="0"/>
        <v>0</v>
      </c>
      <c r="J25" s="107">
        <f t="shared" si="1"/>
        <v>0</v>
      </c>
      <c r="K25" s="107">
        <f t="shared" si="2"/>
        <v>0</v>
      </c>
      <c r="L25" s="95"/>
      <c r="M25" s="98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</row>
    <row r="26" spans="1:33" x14ac:dyDescent="0.2">
      <c r="A26" s="92"/>
      <c r="B26" s="141" t="s">
        <v>27</v>
      </c>
      <c r="C26" s="141"/>
      <c r="D26" s="141"/>
      <c r="E26" s="141"/>
      <c r="F26" s="105" t="s">
        <v>28</v>
      </c>
      <c r="G26" s="106">
        <v>0.5</v>
      </c>
      <c r="H26" s="106">
        <v>0.15</v>
      </c>
      <c r="I26" s="107">
        <f t="shared" si="0"/>
        <v>0</v>
      </c>
      <c r="J26" s="107">
        <f t="shared" si="1"/>
        <v>0</v>
      </c>
      <c r="K26" s="107">
        <f t="shared" si="2"/>
        <v>0</v>
      </c>
      <c r="L26" s="95"/>
      <c r="M26" s="98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</row>
    <row r="27" spans="1:33" x14ac:dyDescent="0.2">
      <c r="A27" s="92"/>
      <c r="B27" s="141" t="s">
        <v>29</v>
      </c>
      <c r="C27" s="141"/>
      <c r="D27" s="141"/>
      <c r="E27" s="141"/>
      <c r="F27" s="105" t="s">
        <v>28</v>
      </c>
      <c r="G27" s="106">
        <v>0.75</v>
      </c>
      <c r="H27" s="106">
        <v>0.15</v>
      </c>
      <c r="I27" s="107">
        <f t="shared" si="0"/>
        <v>0</v>
      </c>
      <c r="J27" s="107">
        <f t="shared" si="1"/>
        <v>0</v>
      </c>
      <c r="K27" s="107">
        <f t="shared" si="2"/>
        <v>0</v>
      </c>
      <c r="L27" s="95"/>
      <c r="M27" s="98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</row>
    <row r="28" spans="1:33" x14ac:dyDescent="0.2">
      <c r="A28" s="92"/>
      <c r="B28" s="141" t="s">
        <v>59</v>
      </c>
      <c r="C28" s="141"/>
      <c r="D28" s="141"/>
      <c r="E28" s="141"/>
      <c r="F28" s="105" t="s">
        <v>18</v>
      </c>
      <c r="G28" s="106">
        <v>2.8</v>
      </c>
      <c r="H28" s="106">
        <v>0</v>
      </c>
      <c r="I28" s="107">
        <f t="shared" ref="I28" si="3">ROUND(G28*DieselChange,2)</f>
        <v>0</v>
      </c>
      <c r="J28" s="107">
        <f t="shared" ref="J28" si="4">ROUND(H28*UnleadedChange,2)</f>
        <v>0</v>
      </c>
      <c r="K28" s="107">
        <f t="shared" ref="K28" si="5">I28+J28</f>
        <v>0</v>
      </c>
      <c r="L28" s="95"/>
      <c r="M28" s="98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</row>
    <row r="29" spans="1:33" ht="13.5" thickBot="1" x14ac:dyDescent="0.25">
      <c r="A29" s="93"/>
      <c r="B29" s="115" t="s">
        <v>30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9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</row>
    <row r="30" spans="1:33" ht="13.5" thickTop="1" x14ac:dyDescent="0.2">
      <c r="A30" s="116"/>
      <c r="B30" s="95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9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</row>
    <row r="31" spans="1:33" x14ac:dyDescent="0.2">
      <c r="A31" s="92"/>
      <c r="B31" s="145" t="s">
        <v>31</v>
      </c>
      <c r="C31" s="146"/>
      <c r="D31" s="146"/>
      <c r="E31" s="147"/>
      <c r="F31" s="144" t="s">
        <v>13</v>
      </c>
      <c r="G31" s="131" t="s">
        <v>32</v>
      </c>
      <c r="H31" s="131"/>
      <c r="I31" s="131" t="s">
        <v>33</v>
      </c>
      <c r="J31" s="131"/>
      <c r="K31" s="123"/>
      <c r="L31" s="124"/>
      <c r="M31" s="125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</row>
    <row r="32" spans="1:33" x14ac:dyDescent="0.2">
      <c r="A32" s="92"/>
      <c r="B32" s="148"/>
      <c r="C32" s="149"/>
      <c r="D32" s="149"/>
      <c r="E32" s="150"/>
      <c r="F32" s="144"/>
      <c r="G32" s="131"/>
      <c r="H32" s="131"/>
      <c r="I32" s="131"/>
      <c r="J32" s="131"/>
      <c r="K32" s="124"/>
      <c r="L32" s="124"/>
      <c r="M32" s="125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</row>
    <row r="33" spans="1:33" x14ac:dyDescent="0.2">
      <c r="A33" s="92"/>
      <c r="B33" s="141" t="s">
        <v>34</v>
      </c>
      <c r="C33" s="141"/>
      <c r="D33" s="141"/>
      <c r="E33" s="141"/>
      <c r="F33" s="105" t="s">
        <v>24</v>
      </c>
      <c r="G33" s="142">
        <v>1</v>
      </c>
      <c r="H33" s="142"/>
      <c r="I33" s="129">
        <f t="shared" ref="I33:I39" si="6">ROUND((G33*AsphaltBinderChange),2)</f>
        <v>0</v>
      </c>
      <c r="J33" s="130"/>
      <c r="K33" s="124"/>
      <c r="L33" s="124"/>
      <c r="M33" s="125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</row>
    <row r="34" spans="1:33" x14ac:dyDescent="0.2">
      <c r="A34" s="92"/>
      <c r="B34" s="141" t="s">
        <v>35</v>
      </c>
      <c r="C34" s="141"/>
      <c r="D34" s="141"/>
      <c r="E34" s="141"/>
      <c r="F34" s="105" t="s">
        <v>24</v>
      </c>
      <c r="G34" s="142">
        <v>1</v>
      </c>
      <c r="H34" s="142"/>
      <c r="I34" s="129">
        <f t="shared" si="6"/>
        <v>0</v>
      </c>
      <c r="J34" s="130"/>
      <c r="K34" s="124"/>
      <c r="L34" s="124"/>
      <c r="M34" s="125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</row>
    <row r="35" spans="1:33" x14ac:dyDescent="0.2">
      <c r="A35" s="92"/>
      <c r="B35" s="141" t="s">
        <v>68</v>
      </c>
      <c r="C35" s="141"/>
      <c r="D35" s="141"/>
      <c r="E35" s="141"/>
      <c r="F35" s="105" t="s">
        <v>20</v>
      </c>
      <c r="G35" s="142">
        <v>1.0999999999999999E-2</v>
      </c>
      <c r="H35" s="142"/>
      <c r="I35" s="129">
        <f t="shared" si="6"/>
        <v>0</v>
      </c>
      <c r="J35" s="130"/>
      <c r="K35" s="124"/>
      <c r="L35" s="124"/>
      <c r="M35" s="125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</row>
    <row r="36" spans="1:33" x14ac:dyDescent="0.2">
      <c r="A36" s="92"/>
      <c r="B36" s="141" t="s">
        <v>69</v>
      </c>
      <c r="C36" s="141"/>
      <c r="D36" s="141"/>
      <c r="E36" s="141"/>
      <c r="F36" s="105" t="s">
        <v>20</v>
      </c>
      <c r="G36" s="142">
        <v>1.6500000000000001E-2</v>
      </c>
      <c r="H36" s="142"/>
      <c r="I36" s="129">
        <f t="shared" si="6"/>
        <v>0</v>
      </c>
      <c r="J36" s="130"/>
      <c r="K36" s="124"/>
      <c r="L36" s="124"/>
      <c r="M36" s="125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</row>
    <row r="37" spans="1:33" x14ac:dyDescent="0.2">
      <c r="A37" s="92"/>
      <c r="B37" s="141" t="s">
        <v>70</v>
      </c>
      <c r="C37" s="141"/>
      <c r="D37" s="141"/>
      <c r="E37" s="141"/>
      <c r="F37" s="105" t="s">
        <v>20</v>
      </c>
      <c r="G37" s="142">
        <v>2.1999999999999999E-2</v>
      </c>
      <c r="H37" s="142"/>
      <c r="I37" s="129">
        <f t="shared" si="6"/>
        <v>0</v>
      </c>
      <c r="J37" s="130"/>
      <c r="K37" s="124"/>
      <c r="L37" s="124"/>
      <c r="M37" s="125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</row>
    <row r="38" spans="1:33" x14ac:dyDescent="0.2">
      <c r="A38" s="92"/>
      <c r="B38" s="141" t="s">
        <v>71</v>
      </c>
      <c r="C38" s="141"/>
      <c r="D38" s="141"/>
      <c r="E38" s="141"/>
      <c r="F38" s="105" t="s">
        <v>20</v>
      </c>
      <c r="G38" s="142">
        <v>2.75E-2</v>
      </c>
      <c r="H38" s="142"/>
      <c r="I38" s="129">
        <f t="shared" si="6"/>
        <v>0</v>
      </c>
      <c r="J38" s="130"/>
      <c r="K38" s="124"/>
      <c r="L38" s="124"/>
      <c r="M38" s="125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</row>
    <row r="39" spans="1:33" x14ac:dyDescent="0.2">
      <c r="A39" s="92"/>
      <c r="B39" s="141" t="s">
        <v>72</v>
      </c>
      <c r="C39" s="141"/>
      <c r="D39" s="141"/>
      <c r="E39" s="141"/>
      <c r="F39" s="105" t="s">
        <v>20</v>
      </c>
      <c r="G39" s="142">
        <v>3.3000000000000002E-2</v>
      </c>
      <c r="H39" s="142"/>
      <c r="I39" s="129">
        <f t="shared" si="6"/>
        <v>0</v>
      </c>
      <c r="J39" s="130"/>
      <c r="K39" s="124"/>
      <c r="L39" s="124"/>
      <c r="M39" s="125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</row>
    <row r="40" spans="1:33" x14ac:dyDescent="0.2">
      <c r="A40" s="92"/>
      <c r="B40" s="128" t="s">
        <v>79</v>
      </c>
      <c r="C40" s="108"/>
      <c r="D40" s="108"/>
      <c r="E40" s="108"/>
      <c r="F40" s="105" t="s">
        <v>20</v>
      </c>
      <c r="G40" s="137">
        <v>7.7446808510638304E-4</v>
      </c>
      <c r="H40" s="136"/>
      <c r="I40" s="129">
        <f t="shared" ref="I40:I47" si="7">ROUND((G40*AsphaltBinderChange),2)</f>
        <v>0</v>
      </c>
      <c r="J40" s="130"/>
      <c r="K40" s="124"/>
      <c r="L40" s="124"/>
      <c r="M40" s="125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</row>
    <row r="41" spans="1:33" x14ac:dyDescent="0.2">
      <c r="A41" s="92"/>
      <c r="B41" s="127" t="s">
        <v>76</v>
      </c>
      <c r="C41" s="109"/>
      <c r="D41" s="109"/>
      <c r="E41" s="110"/>
      <c r="F41" s="105" t="s">
        <v>20</v>
      </c>
      <c r="G41" s="138">
        <v>1.5212765957446799E-3</v>
      </c>
      <c r="H41" s="139"/>
      <c r="I41" s="129">
        <f>ROUND((G41*AsphaltBinderChange),2)</f>
        <v>0</v>
      </c>
      <c r="J41" s="130"/>
      <c r="K41" s="124"/>
      <c r="L41" s="124"/>
      <c r="M41" s="125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</row>
    <row r="42" spans="1:33" x14ac:dyDescent="0.2">
      <c r="A42" s="92"/>
      <c r="B42" s="127" t="s">
        <v>77</v>
      </c>
      <c r="C42" s="109"/>
      <c r="D42" s="109"/>
      <c r="E42" s="110"/>
      <c r="F42" s="105" t="s">
        <v>20</v>
      </c>
      <c r="G42" s="138">
        <v>1.2723404255319201E-3</v>
      </c>
      <c r="H42" s="139"/>
      <c r="I42" s="129">
        <f>ROUND((G42*AsphaltBinderChange),2)</f>
        <v>0</v>
      </c>
      <c r="J42" s="130"/>
      <c r="K42" s="124"/>
      <c r="L42" s="124"/>
      <c r="M42" s="125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</row>
    <row r="43" spans="1:33" x14ac:dyDescent="0.2">
      <c r="A43" s="92"/>
      <c r="B43" s="127" t="s">
        <v>78</v>
      </c>
      <c r="C43" s="109"/>
      <c r="D43" s="109"/>
      <c r="E43" s="110"/>
      <c r="F43" s="111" t="s">
        <v>20</v>
      </c>
      <c r="G43" s="138">
        <v>1.3276595744680852E-3</v>
      </c>
      <c r="H43" s="139"/>
      <c r="I43" s="129">
        <f t="shared" si="7"/>
        <v>0</v>
      </c>
      <c r="J43" s="130"/>
      <c r="K43" s="124"/>
      <c r="L43" s="124"/>
      <c r="M43" s="125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</row>
    <row r="44" spans="1:33" x14ac:dyDescent="0.2">
      <c r="A44" s="92"/>
      <c r="B44" s="112" t="s">
        <v>81</v>
      </c>
      <c r="C44" s="112"/>
      <c r="D44" s="112"/>
      <c r="E44" s="112"/>
      <c r="F44" s="105" t="s">
        <v>20</v>
      </c>
      <c r="G44" s="137">
        <v>1.9638297872340425E-3</v>
      </c>
      <c r="H44" s="136"/>
      <c r="I44" s="129">
        <f t="shared" si="7"/>
        <v>0</v>
      </c>
      <c r="J44" s="130"/>
      <c r="K44" s="124"/>
      <c r="L44" s="124"/>
      <c r="M44" s="125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</row>
    <row r="45" spans="1:33" x14ac:dyDescent="0.2">
      <c r="A45" s="92"/>
      <c r="B45" s="140" t="s">
        <v>73</v>
      </c>
      <c r="C45" s="133"/>
      <c r="D45" s="133"/>
      <c r="E45" s="134"/>
      <c r="F45" s="105" t="s">
        <v>20</v>
      </c>
      <c r="G45" s="137">
        <v>7.2000000000000005E-4</v>
      </c>
      <c r="H45" s="136"/>
      <c r="I45" s="129">
        <f t="shared" si="7"/>
        <v>0</v>
      </c>
      <c r="J45" s="130"/>
      <c r="K45" s="124"/>
      <c r="L45" s="124"/>
      <c r="M45" s="125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</row>
    <row r="46" spans="1:33" x14ac:dyDescent="0.2">
      <c r="A46" s="92"/>
      <c r="B46" s="140" t="s">
        <v>74</v>
      </c>
      <c r="C46" s="133"/>
      <c r="D46" s="133"/>
      <c r="E46" s="134"/>
      <c r="F46" s="105" t="s">
        <v>24</v>
      </c>
      <c r="G46" s="137">
        <v>0.08</v>
      </c>
      <c r="H46" s="143"/>
      <c r="I46" s="129">
        <f t="shared" si="7"/>
        <v>0</v>
      </c>
      <c r="J46" s="130"/>
      <c r="K46" s="124"/>
      <c r="L46" s="124"/>
      <c r="M46" s="125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</row>
    <row r="47" spans="1:33" x14ac:dyDescent="0.2">
      <c r="A47" s="92"/>
      <c r="B47" s="140" t="s">
        <v>55</v>
      </c>
      <c r="C47" s="133"/>
      <c r="D47" s="133"/>
      <c r="E47" s="134"/>
      <c r="F47" s="105" t="s">
        <v>56</v>
      </c>
      <c r="G47" s="137">
        <v>2.8E-3</v>
      </c>
      <c r="H47" s="136"/>
      <c r="I47" s="129">
        <f t="shared" si="7"/>
        <v>0</v>
      </c>
      <c r="J47" s="130"/>
      <c r="K47" s="124"/>
      <c r="L47" s="124"/>
      <c r="M47" s="125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</row>
    <row r="48" spans="1:33" ht="12.75" customHeight="1" x14ac:dyDescent="0.2">
      <c r="A48" s="92"/>
      <c r="B48" s="132" t="s">
        <v>75</v>
      </c>
      <c r="C48" s="133"/>
      <c r="D48" s="133"/>
      <c r="E48" s="134"/>
      <c r="F48" s="126" t="s">
        <v>20</v>
      </c>
      <c r="G48" s="135">
        <v>2.5999999999999999E-3</v>
      </c>
      <c r="H48" s="136"/>
      <c r="I48" s="129">
        <f>ROUND((G48*AsphaltBinderChange),2)</f>
        <v>0</v>
      </c>
      <c r="J48" s="130"/>
      <c r="K48" s="124"/>
      <c r="L48" s="124"/>
      <c r="M48" s="125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</row>
    <row r="49" spans="1:33" x14ac:dyDescent="0.2">
      <c r="A49" s="92"/>
      <c r="B49" s="118" t="s">
        <v>30</v>
      </c>
      <c r="C49" s="119"/>
      <c r="D49" s="119"/>
      <c r="E49" s="119"/>
      <c r="F49" s="120"/>
      <c r="G49" s="121"/>
      <c r="H49" s="121"/>
      <c r="I49" s="122"/>
      <c r="J49" s="122"/>
      <c r="K49" s="95"/>
      <c r="L49" s="95"/>
      <c r="M49" s="98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</row>
    <row r="50" spans="1:33" x14ac:dyDescent="0.2">
      <c r="A50" s="92"/>
      <c r="B50" s="118"/>
      <c r="C50" s="119"/>
      <c r="D50" s="119"/>
      <c r="E50" s="119"/>
      <c r="F50" s="120"/>
      <c r="G50" s="121"/>
      <c r="H50" s="121"/>
      <c r="I50" s="122"/>
      <c r="J50" s="122"/>
      <c r="K50" s="95"/>
      <c r="L50" s="95"/>
      <c r="M50" s="98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</row>
    <row r="51" spans="1:33" x14ac:dyDescent="0.2">
      <c r="A51" s="92"/>
      <c r="B51" s="118"/>
      <c r="C51" s="119"/>
      <c r="D51" s="119"/>
      <c r="E51" s="119"/>
      <c r="F51" s="120"/>
      <c r="G51" s="121"/>
      <c r="H51" s="121"/>
      <c r="I51" s="122"/>
      <c r="J51" s="122"/>
      <c r="K51" s="95"/>
      <c r="L51" s="95"/>
      <c r="M51" s="98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</row>
    <row r="52" spans="1:33" x14ac:dyDescent="0.2">
      <c r="A52" s="92"/>
      <c r="B52" s="118"/>
      <c r="C52" s="119"/>
      <c r="D52" s="119"/>
      <c r="E52" s="119"/>
      <c r="F52" s="120"/>
      <c r="G52" s="121"/>
      <c r="H52" s="121"/>
      <c r="I52" s="122"/>
      <c r="J52" s="122"/>
      <c r="K52" s="95"/>
      <c r="L52" s="95"/>
      <c r="M52" s="98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</row>
    <row r="53" spans="1:33" x14ac:dyDescent="0.2">
      <c r="A53" s="92"/>
      <c r="B53" s="118"/>
      <c r="C53" s="119"/>
      <c r="D53" s="119"/>
      <c r="E53" s="119"/>
      <c r="F53" s="120"/>
      <c r="G53" s="121"/>
      <c r="H53" s="121"/>
      <c r="I53" s="122"/>
      <c r="J53" s="122"/>
      <c r="K53" s="95"/>
      <c r="L53" s="95"/>
      <c r="M53" s="98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</row>
    <row r="54" spans="1:33" x14ac:dyDescent="0.2">
      <c r="A54" s="92"/>
      <c r="B54" s="118"/>
      <c r="C54" s="119"/>
      <c r="D54" s="119"/>
      <c r="E54" s="119"/>
      <c r="F54" s="120"/>
      <c r="G54" s="121"/>
      <c r="H54" s="121"/>
      <c r="I54" s="122"/>
      <c r="J54" s="122"/>
      <c r="K54" s="95"/>
      <c r="L54" s="95"/>
      <c r="M54" s="98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</row>
    <row r="55" spans="1:33" x14ac:dyDescent="0.2">
      <c r="A55" s="92"/>
      <c r="B55" s="118"/>
      <c r="C55" s="119"/>
      <c r="D55" s="119"/>
      <c r="E55" s="119"/>
      <c r="F55" s="120"/>
      <c r="G55" s="121"/>
      <c r="H55" s="121"/>
      <c r="I55" s="122"/>
      <c r="J55" s="122"/>
      <c r="K55" s="95"/>
      <c r="L55" s="95"/>
      <c r="M55" s="98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</row>
    <row r="56" spans="1:33" x14ac:dyDescent="0.2">
      <c r="A56" s="92"/>
      <c r="B56" s="118"/>
      <c r="C56" s="119"/>
      <c r="D56" s="119"/>
      <c r="E56" s="119"/>
      <c r="F56" s="120"/>
      <c r="G56" s="121"/>
      <c r="H56" s="121"/>
      <c r="I56" s="122"/>
      <c r="J56" s="122"/>
      <c r="K56" s="95"/>
      <c r="L56" s="95"/>
      <c r="M56" s="98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</row>
    <row r="57" spans="1:33" x14ac:dyDescent="0.2">
      <c r="A57" s="92"/>
      <c r="B57" s="118"/>
      <c r="C57" s="119"/>
      <c r="D57" s="119"/>
      <c r="E57" s="119"/>
      <c r="F57" s="120"/>
      <c r="G57" s="121"/>
      <c r="H57" s="121"/>
      <c r="I57" s="122"/>
      <c r="J57" s="122"/>
      <c r="K57" s="95"/>
      <c r="L57" s="95"/>
      <c r="M57" s="98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</row>
    <row r="58" spans="1:33" ht="13.5" thickBot="1" x14ac:dyDescent="0.25">
      <c r="A58" s="93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9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</row>
    <row r="59" spans="1:33" ht="13.5" thickTop="1" x14ac:dyDescent="0.2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</row>
    <row r="60" spans="1:33" x14ac:dyDescent="0.2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</row>
    <row r="61" spans="1:33" x14ac:dyDescent="0.2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</row>
    <row r="62" spans="1:33" x14ac:dyDescent="0.2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</row>
    <row r="63" spans="1:33" x14ac:dyDescent="0.2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</row>
    <row r="64" spans="1:33" x14ac:dyDescent="0.2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</row>
    <row r="65" spans="1:33" x14ac:dyDescent="0.2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</row>
    <row r="66" spans="1:33" x14ac:dyDescent="0.2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</row>
    <row r="67" spans="1:33" x14ac:dyDescent="0.2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</row>
    <row r="68" spans="1:33" x14ac:dyDescent="0.2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</row>
    <row r="69" spans="1:33" x14ac:dyDescent="0.2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</row>
    <row r="70" spans="1:33" x14ac:dyDescent="0.2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</row>
    <row r="71" spans="1:33" x14ac:dyDescent="0.2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</row>
    <row r="72" spans="1:33" x14ac:dyDescent="0.2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</row>
    <row r="73" spans="1:33" x14ac:dyDescent="0.2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</row>
    <row r="74" spans="1:33" x14ac:dyDescent="0.2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</row>
    <row r="75" spans="1:33" x14ac:dyDescent="0.2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</row>
    <row r="76" spans="1:33" x14ac:dyDescent="0.2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</row>
    <row r="77" spans="1:33" x14ac:dyDescent="0.2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</row>
    <row r="78" spans="1:33" x14ac:dyDescent="0.2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</row>
    <row r="79" spans="1:33" x14ac:dyDescent="0.2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</row>
    <row r="80" spans="1:33" x14ac:dyDescent="0.2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</row>
    <row r="81" spans="1:33" x14ac:dyDescent="0.2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</row>
    <row r="82" spans="1:33" x14ac:dyDescent="0.2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</row>
    <row r="83" spans="1:33" x14ac:dyDescent="0.2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</row>
    <row r="84" spans="1:33" x14ac:dyDescent="0.2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</row>
    <row r="85" spans="1:33" x14ac:dyDescent="0.2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</row>
    <row r="86" spans="1:33" x14ac:dyDescent="0.2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</row>
    <row r="87" spans="1:33" x14ac:dyDescent="0.2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</row>
    <row r="88" spans="1:33" x14ac:dyDescent="0.2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</row>
    <row r="89" spans="1:33" x14ac:dyDescent="0.2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</row>
    <row r="90" spans="1:33" x14ac:dyDescent="0.2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</row>
    <row r="91" spans="1:33" x14ac:dyDescent="0.2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</row>
    <row r="92" spans="1:33" x14ac:dyDescent="0.2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</row>
    <row r="93" spans="1:33" x14ac:dyDescent="0.2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</row>
    <row r="94" spans="1:33" x14ac:dyDescent="0.2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</row>
  </sheetData>
  <sheetProtection algorithmName="SHA-512" hashValue="HESm5bsedRZco9I9hZyN45+W2sile4d97joP/FrN3WiELW3LJHKx2w7+/LX2ufmiczLO7Pz1WMACiClj8vEE5A==" saltValue="X5ZhPM4mPChzV+ssALgr3w==" spinCount="100000" sheet="1" objects="1" scenarios="1"/>
  <mergeCells count="70">
    <mergeCell ref="B6:E6"/>
    <mergeCell ref="L7:L8"/>
    <mergeCell ref="B11:E12"/>
    <mergeCell ref="F11:F12"/>
    <mergeCell ref="G11:H11"/>
    <mergeCell ref="I11:K11"/>
    <mergeCell ref="H6:K6"/>
    <mergeCell ref="B23:E23"/>
    <mergeCell ref="B13:E13"/>
    <mergeCell ref="B14:E14"/>
    <mergeCell ref="B15:E15"/>
    <mergeCell ref="B16:E16"/>
    <mergeCell ref="B18:E18"/>
    <mergeCell ref="B19:E19"/>
    <mergeCell ref="B20:E20"/>
    <mergeCell ref="B21:E21"/>
    <mergeCell ref="B22:E22"/>
    <mergeCell ref="B17:E17"/>
    <mergeCell ref="B34:E34"/>
    <mergeCell ref="G35:H35"/>
    <mergeCell ref="B24:E24"/>
    <mergeCell ref="B25:E25"/>
    <mergeCell ref="B26:E26"/>
    <mergeCell ref="B27:E27"/>
    <mergeCell ref="B31:E32"/>
    <mergeCell ref="B28:E28"/>
    <mergeCell ref="I47:J47"/>
    <mergeCell ref="B45:E45"/>
    <mergeCell ref="I31:J32"/>
    <mergeCell ref="B33:E33"/>
    <mergeCell ref="G33:H33"/>
    <mergeCell ref="I33:J33"/>
    <mergeCell ref="G37:H37"/>
    <mergeCell ref="I37:J37"/>
    <mergeCell ref="G34:H34"/>
    <mergeCell ref="I34:J34"/>
    <mergeCell ref="F31:F32"/>
    <mergeCell ref="B37:E37"/>
    <mergeCell ref="B36:E36"/>
    <mergeCell ref="G36:H36"/>
    <mergeCell ref="I36:J36"/>
    <mergeCell ref="B35:E35"/>
    <mergeCell ref="G45:H45"/>
    <mergeCell ref="I45:J45"/>
    <mergeCell ref="B46:E46"/>
    <mergeCell ref="G46:H46"/>
    <mergeCell ref="I46:J46"/>
    <mergeCell ref="B38:E38"/>
    <mergeCell ref="G38:H38"/>
    <mergeCell ref="I38:J38"/>
    <mergeCell ref="I42:J42"/>
    <mergeCell ref="G39:H39"/>
    <mergeCell ref="I39:J39"/>
    <mergeCell ref="B39:E39"/>
    <mergeCell ref="I35:J35"/>
    <mergeCell ref="G31:H32"/>
    <mergeCell ref="B48:E48"/>
    <mergeCell ref="G48:H48"/>
    <mergeCell ref="I48:J48"/>
    <mergeCell ref="G40:H40"/>
    <mergeCell ref="G44:H44"/>
    <mergeCell ref="I44:J44"/>
    <mergeCell ref="G43:H43"/>
    <mergeCell ref="I40:J40"/>
    <mergeCell ref="G41:H41"/>
    <mergeCell ref="G42:H42"/>
    <mergeCell ref="I43:J43"/>
    <mergeCell ref="I41:J41"/>
    <mergeCell ref="B47:E47"/>
    <mergeCell ref="G47:H47"/>
  </mergeCells>
  <phoneticPr fontId="0" type="noConversion"/>
  <dataValidations count="1">
    <dataValidation type="list" allowBlank="1" showInputMessage="1" showErrorMessage="1" sqref="B8 H8" xr:uid="{00000000-0002-0000-0000-000000000000}">
      <formula1>Validdates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2"/>
  <sheetViews>
    <sheetView zoomScale="130" zoomScaleNormal="130" workbookViewId="0">
      <pane ySplit="3" topLeftCell="A5" activePane="bottomLeft" state="frozen"/>
      <selection activeCell="N12" sqref="N12"/>
      <selection pane="bottomLeft" activeCell="C7" sqref="C7"/>
    </sheetView>
  </sheetViews>
  <sheetFormatPr defaultRowHeight="12.75" x14ac:dyDescent="0.2"/>
  <cols>
    <col min="2" max="2" width="9.7109375" bestFit="1" customWidth="1"/>
    <col min="3" max="3" width="13.28515625" bestFit="1" customWidth="1"/>
    <col min="4" max="4" width="9.85546875" bestFit="1" customWidth="1"/>
    <col min="5" max="5" width="10.85546875" bestFit="1" customWidth="1"/>
  </cols>
  <sheetData>
    <row r="1" spans="1:6" x14ac:dyDescent="0.2">
      <c r="A1" s="1"/>
      <c r="B1" s="1"/>
      <c r="C1" s="1"/>
      <c r="D1" s="1"/>
      <c r="E1" s="1"/>
      <c r="F1" s="1"/>
    </row>
    <row r="2" spans="1:6" ht="18" x14ac:dyDescent="0.25">
      <c r="A2" s="2"/>
      <c r="B2" s="155" t="s">
        <v>0</v>
      </c>
      <c r="C2" s="155"/>
      <c r="D2" s="155"/>
      <c r="E2" s="155"/>
      <c r="F2" s="2"/>
    </row>
    <row r="3" spans="1:6" x14ac:dyDescent="0.2">
      <c r="A3" s="2"/>
      <c r="B3" s="3" t="s">
        <v>1</v>
      </c>
      <c r="C3" s="3" t="s">
        <v>10</v>
      </c>
      <c r="D3" s="3" t="s">
        <v>2</v>
      </c>
      <c r="E3" s="3" t="s">
        <v>3</v>
      </c>
      <c r="F3" s="2"/>
    </row>
    <row r="4" spans="1:6" x14ac:dyDescent="0.2">
      <c r="A4" s="2"/>
      <c r="B4" s="4">
        <v>45839</v>
      </c>
      <c r="C4" s="57">
        <v>587.75</v>
      </c>
      <c r="D4" s="5">
        <v>2.6627999999999998</v>
      </c>
      <c r="E4" s="5">
        <v>2.3357999999999999</v>
      </c>
      <c r="F4" s="2"/>
    </row>
    <row r="5" spans="1:6" x14ac:dyDescent="0.2">
      <c r="A5" s="2"/>
      <c r="B5" s="4">
        <v>45809</v>
      </c>
      <c r="C5" s="57">
        <v>576.13</v>
      </c>
      <c r="D5" s="5">
        <v>2.4808785172413801</v>
      </c>
      <c r="E5" s="5">
        <v>2.30154110344828</v>
      </c>
      <c r="F5" s="2"/>
    </row>
    <row r="6" spans="1:6" x14ac:dyDescent="0.2">
      <c r="A6" s="2"/>
      <c r="B6" s="4">
        <v>45778</v>
      </c>
      <c r="C6" s="57">
        <v>571.84</v>
      </c>
      <c r="D6" s="5">
        <v>2.5161838333333302</v>
      </c>
      <c r="E6" s="5">
        <v>2.2991338333333302</v>
      </c>
      <c r="F6" s="2"/>
    </row>
    <row r="7" spans="1:6" x14ac:dyDescent="0.2">
      <c r="A7" s="2"/>
      <c r="B7" s="4">
        <v>45748</v>
      </c>
      <c r="C7" s="57">
        <v>595</v>
      </c>
      <c r="D7" s="5">
        <v>2.6285863870967701</v>
      </c>
      <c r="E7" s="5">
        <v>2.3031012258064498</v>
      </c>
      <c r="F7" s="2"/>
    </row>
    <row r="8" spans="1:6" x14ac:dyDescent="0.2">
      <c r="A8" s="2"/>
      <c r="B8" s="4">
        <v>45717</v>
      </c>
      <c r="C8" s="57">
        <v>588.28</v>
      </c>
      <c r="D8" s="5">
        <v>2.8342991111111102</v>
      </c>
      <c r="E8" s="5">
        <v>2.3410000000000002</v>
      </c>
      <c r="F8" s="2"/>
    </row>
    <row r="9" spans="1:6" x14ac:dyDescent="0.2">
      <c r="A9" s="2"/>
      <c r="B9" s="4">
        <v>45689</v>
      </c>
      <c r="C9" s="57">
        <v>581.41999999999996</v>
      </c>
      <c r="D9" s="5">
        <v>2.83312106451613</v>
      </c>
      <c r="E9" s="5">
        <v>2.3717205806451598</v>
      </c>
      <c r="F9" s="2"/>
    </row>
    <row r="10" spans="1:6" x14ac:dyDescent="0.2">
      <c r="A10" s="2"/>
      <c r="B10" s="4">
        <v>45658</v>
      </c>
      <c r="C10" s="57">
        <v>583.36</v>
      </c>
      <c r="D10" s="5">
        <v>2.5889000000000002</v>
      </c>
      <c r="E10" s="5">
        <v>2.2722224999999998</v>
      </c>
      <c r="F10" s="2"/>
    </row>
    <row r="11" spans="1:6" x14ac:dyDescent="0.2">
      <c r="B11" s="58"/>
      <c r="C11" s="58"/>
      <c r="D11" s="58"/>
      <c r="E11" s="58"/>
    </row>
    <row r="12" spans="1:6" x14ac:dyDescent="0.2">
      <c r="D12" s="68"/>
    </row>
  </sheetData>
  <sheetProtection algorithmName="SHA-512" hashValue="WSGnb6B6sNc4OOLG7sR14yVYQlNkED6u/P34k3/93VGzf5QzMnczLvjgYHXH8I4Ty9tXI5/95xBRZRGxekSQmg==" saltValue="QErXFl7PSMkVuSlOwNRIHQ==" spinCount="100000" sheet="1" objects="1" scenarios="1"/>
  <sortState xmlns:xlrd2="http://schemas.microsoft.com/office/spreadsheetml/2017/richdata2" ref="B24:E345">
    <sortCondition descending="1" ref="B24:B345"/>
  </sortState>
  <mergeCells count="1">
    <mergeCell ref="B2:E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10"/>
  <sheetViews>
    <sheetView topLeftCell="A4" zoomScale="130" zoomScaleNormal="130" workbookViewId="0">
      <selection activeCell="F21" sqref="F21"/>
    </sheetView>
  </sheetViews>
  <sheetFormatPr defaultRowHeight="12.75" x14ac:dyDescent="0.2"/>
  <cols>
    <col min="3" max="4" width="9.7109375" customWidth="1"/>
    <col min="5" max="7" width="11.7109375" customWidth="1"/>
  </cols>
  <sheetData>
    <row r="1" spans="1:9" x14ac:dyDescent="0.2">
      <c r="A1" s="8"/>
      <c r="B1" s="9"/>
      <c r="C1" s="9"/>
      <c r="D1" s="9"/>
      <c r="E1" s="9"/>
      <c r="F1" s="9"/>
      <c r="G1" s="9"/>
      <c r="H1" s="8"/>
      <c r="I1" s="8"/>
    </row>
    <row r="2" spans="1:9" ht="13.5" thickBot="1" x14ac:dyDescent="0.25">
      <c r="A2" s="8"/>
      <c r="B2" s="9"/>
      <c r="C2" s="9"/>
      <c r="D2" s="9"/>
      <c r="E2" s="9"/>
      <c r="F2" s="9"/>
      <c r="G2" s="9"/>
      <c r="H2" s="8"/>
      <c r="I2" s="8"/>
    </row>
    <row r="3" spans="1:9" ht="15.75" x14ac:dyDescent="0.25">
      <c r="A3" s="8"/>
      <c r="B3" s="156" t="s">
        <v>36</v>
      </c>
      <c r="C3" s="157"/>
      <c r="D3" s="157"/>
      <c r="E3" s="157"/>
      <c r="F3" s="157"/>
      <c r="G3" s="158"/>
      <c r="H3" s="8"/>
      <c r="I3" s="8"/>
    </row>
    <row r="4" spans="1:9" x14ac:dyDescent="0.2">
      <c r="A4" s="8"/>
      <c r="B4" s="10"/>
      <c r="C4" s="2"/>
      <c r="D4" s="2"/>
      <c r="E4" s="2"/>
      <c r="F4" s="2"/>
      <c r="G4" s="11"/>
      <c r="H4" s="8"/>
      <c r="I4" s="8"/>
    </row>
    <row r="5" spans="1:9" x14ac:dyDescent="0.2">
      <c r="A5" s="8"/>
      <c r="B5" s="10"/>
      <c r="C5" s="159" t="s">
        <v>37</v>
      </c>
      <c r="D5" s="160"/>
      <c r="E5" s="12">
        <f>DieselBase</f>
        <v>2.6627999999999998</v>
      </c>
      <c r="F5" s="2"/>
      <c r="G5" s="11"/>
      <c r="H5" s="8"/>
      <c r="I5" s="8"/>
    </row>
    <row r="6" spans="1:9" x14ac:dyDescent="0.2">
      <c r="A6" s="8"/>
      <c r="B6" s="10"/>
      <c r="C6" s="161" t="s">
        <v>38</v>
      </c>
      <c r="D6" s="162"/>
      <c r="E6" s="13">
        <f>DieselCurrent</f>
        <v>2.6627999999999998</v>
      </c>
      <c r="F6" s="2"/>
      <c r="G6" s="11"/>
      <c r="H6" s="8"/>
      <c r="I6" s="8"/>
    </row>
    <row r="7" spans="1:9" x14ac:dyDescent="0.2">
      <c r="A7" s="8"/>
      <c r="B7" s="10"/>
      <c r="C7" s="163" t="s">
        <v>39</v>
      </c>
      <c r="D7" s="164"/>
      <c r="E7" s="14">
        <f>VLOOKUP(E6,E12:G51,3)</f>
        <v>0</v>
      </c>
      <c r="F7" s="2"/>
      <c r="G7" s="11"/>
      <c r="H7" s="8"/>
      <c r="I7" s="8"/>
    </row>
    <row r="8" spans="1:9" x14ac:dyDescent="0.2">
      <c r="A8" s="8"/>
      <c r="B8" s="10"/>
      <c r="C8" s="2"/>
      <c r="D8" s="2"/>
      <c r="E8" s="2"/>
      <c r="F8" s="2"/>
      <c r="G8" s="11"/>
      <c r="H8" s="8"/>
      <c r="I8" s="8"/>
    </row>
    <row r="9" spans="1:9" x14ac:dyDescent="0.2">
      <c r="A9" s="8"/>
      <c r="B9" s="10"/>
      <c r="C9" s="2"/>
      <c r="D9" s="2"/>
      <c r="E9" s="2"/>
      <c r="F9" s="2"/>
      <c r="G9" s="11"/>
      <c r="H9" s="8"/>
      <c r="I9" s="8"/>
    </row>
    <row r="10" spans="1:9" x14ac:dyDescent="0.2">
      <c r="A10" s="8"/>
      <c r="B10" s="10"/>
      <c r="C10" s="2"/>
      <c r="D10" s="2"/>
      <c r="E10" s="2"/>
      <c r="F10" s="2"/>
      <c r="G10" s="11"/>
      <c r="H10" s="8"/>
      <c r="I10" s="8"/>
    </row>
    <row r="11" spans="1:9" ht="13.5" thickBot="1" x14ac:dyDescent="0.25">
      <c r="A11" s="8"/>
      <c r="B11" s="10"/>
      <c r="C11" s="2"/>
      <c r="D11" s="2"/>
      <c r="E11" s="2"/>
      <c r="F11" s="2"/>
      <c r="G11" s="11"/>
      <c r="H11" s="8"/>
      <c r="I11" s="8"/>
    </row>
    <row r="12" spans="1:9" x14ac:dyDescent="0.2">
      <c r="A12" s="8"/>
      <c r="B12" s="165" t="s">
        <v>40</v>
      </c>
      <c r="C12" s="46">
        <v>90</v>
      </c>
      <c r="D12" s="15">
        <v>100</v>
      </c>
      <c r="E12" s="35">
        <f>0*DieselBase</f>
        <v>0</v>
      </c>
      <c r="F12" s="16">
        <f>0.1*DieselBase-0.0001</f>
        <v>0.26618000000000003</v>
      </c>
      <c r="G12" s="17">
        <f>-0.9*DieselBase</f>
        <v>-2.3965199999999998</v>
      </c>
      <c r="H12" s="8"/>
      <c r="I12" s="8"/>
    </row>
    <row r="13" spans="1:9" x14ac:dyDescent="0.2">
      <c r="A13" s="8"/>
      <c r="B13" s="166"/>
      <c r="C13" s="47">
        <v>80</v>
      </c>
      <c r="D13" s="18">
        <v>90</v>
      </c>
      <c r="E13" s="37">
        <f>0.1*DieselBase</f>
        <v>0.26628000000000002</v>
      </c>
      <c r="F13" s="19">
        <f>0.2*DieselBase-0.0001</f>
        <v>0.53246000000000004</v>
      </c>
      <c r="G13" s="20">
        <f>-0.8*DieselBase</f>
        <v>-2.1302400000000001</v>
      </c>
      <c r="H13" s="8"/>
      <c r="I13" s="8"/>
    </row>
    <row r="14" spans="1:9" x14ac:dyDescent="0.2">
      <c r="A14" s="8"/>
      <c r="B14" s="166"/>
      <c r="C14" s="47">
        <v>70</v>
      </c>
      <c r="D14" s="18">
        <v>80</v>
      </c>
      <c r="E14" s="37">
        <f>0.2*DieselBase</f>
        <v>0.53256000000000003</v>
      </c>
      <c r="F14" s="19">
        <f>0.3*DieselBase-0.0001</f>
        <v>0.79873999999999989</v>
      </c>
      <c r="G14" s="20">
        <f>-0.7*DieselBase</f>
        <v>-1.8639599999999998</v>
      </c>
      <c r="H14" s="8"/>
      <c r="I14" s="8" t="s">
        <v>80</v>
      </c>
    </row>
    <row r="15" spans="1:9" x14ac:dyDescent="0.2">
      <c r="A15" s="8"/>
      <c r="B15" s="166"/>
      <c r="C15" s="47">
        <v>60</v>
      </c>
      <c r="D15" s="18">
        <v>70</v>
      </c>
      <c r="E15" s="37">
        <f>0.3*DieselBase</f>
        <v>0.79883999999999988</v>
      </c>
      <c r="F15" s="19">
        <f>0.4*DieselBase-0.0001</f>
        <v>1.0650200000000001</v>
      </c>
      <c r="G15" s="20">
        <f>-0.6*DieselBase</f>
        <v>-1.5976799999999998</v>
      </c>
      <c r="H15" s="8"/>
      <c r="I15" s="8"/>
    </row>
    <row r="16" spans="1:9" x14ac:dyDescent="0.2">
      <c r="A16" s="8"/>
      <c r="B16" s="166"/>
      <c r="C16" s="47">
        <v>50</v>
      </c>
      <c r="D16" s="18">
        <v>60</v>
      </c>
      <c r="E16" s="37">
        <f>0.4*DieselBase</f>
        <v>1.0651200000000001</v>
      </c>
      <c r="F16" s="19">
        <f>0.5*DieselBase-0.0001</f>
        <v>1.3312999999999999</v>
      </c>
      <c r="G16" s="20">
        <f>-0.5*DieselBase</f>
        <v>-1.3313999999999999</v>
      </c>
      <c r="H16" s="8"/>
      <c r="I16" s="8"/>
    </row>
    <row r="17" spans="1:9" x14ac:dyDescent="0.2">
      <c r="A17" s="8"/>
      <c r="B17" s="166"/>
      <c r="C17" s="47">
        <v>40</v>
      </c>
      <c r="D17" s="18">
        <v>50</v>
      </c>
      <c r="E17" s="37">
        <f>0.5*DieselBase</f>
        <v>1.3313999999999999</v>
      </c>
      <c r="F17" s="19">
        <f>0.6*DieselBase-0.0001</f>
        <v>1.5975799999999998</v>
      </c>
      <c r="G17" s="20">
        <f>-0.4*DieselBase</f>
        <v>-1.0651200000000001</v>
      </c>
      <c r="H17" s="8"/>
      <c r="I17" s="8"/>
    </row>
    <row r="18" spans="1:9" x14ac:dyDescent="0.2">
      <c r="A18" s="8"/>
      <c r="B18" s="166"/>
      <c r="C18" s="47">
        <v>30</v>
      </c>
      <c r="D18" s="18">
        <v>40</v>
      </c>
      <c r="E18" s="37">
        <f>0.6*DieselBase</f>
        <v>1.5976799999999998</v>
      </c>
      <c r="F18" s="19">
        <f>0.7*DieselBase-0.0001</f>
        <v>1.8638599999999999</v>
      </c>
      <c r="G18" s="20">
        <f>-0.3*DieselBase</f>
        <v>-0.79883999999999988</v>
      </c>
      <c r="H18" s="8"/>
      <c r="I18" s="8"/>
    </row>
    <row r="19" spans="1:9" x14ac:dyDescent="0.2">
      <c r="A19" s="8"/>
      <c r="B19" s="166"/>
      <c r="C19" s="47">
        <v>20</v>
      </c>
      <c r="D19" s="18">
        <v>30</v>
      </c>
      <c r="E19" s="37">
        <f>0.7*DieselBase</f>
        <v>1.8639599999999998</v>
      </c>
      <c r="F19" s="19">
        <f>0.8*DieselBase-0.0001</f>
        <v>2.1301399999999999</v>
      </c>
      <c r="G19" s="20">
        <f>-0.2*DieselBase</f>
        <v>-0.53256000000000003</v>
      </c>
      <c r="H19" s="8"/>
      <c r="I19" s="8"/>
    </row>
    <row r="20" spans="1:9" x14ac:dyDescent="0.2">
      <c r="A20" s="8"/>
      <c r="B20" s="166"/>
      <c r="C20" s="47">
        <v>10</v>
      </c>
      <c r="D20" s="18">
        <v>20</v>
      </c>
      <c r="E20" s="37">
        <f>0.8*DieselBase</f>
        <v>2.1302400000000001</v>
      </c>
      <c r="F20" s="19">
        <f>0.9*DieselBase-0.0001</f>
        <v>2.3964199999999996</v>
      </c>
      <c r="G20" s="20">
        <f>-0.1*DieselBase</f>
        <v>-0.26628000000000002</v>
      </c>
      <c r="H20" s="8"/>
      <c r="I20" s="8"/>
    </row>
    <row r="21" spans="1:9" x14ac:dyDescent="0.2">
      <c r="A21" s="8"/>
      <c r="B21" s="170"/>
      <c r="C21" s="48">
        <v>0</v>
      </c>
      <c r="D21" s="38">
        <v>10</v>
      </c>
      <c r="E21" s="39">
        <f>0.9*DieselBase</f>
        <v>2.3965199999999998</v>
      </c>
      <c r="F21" s="40">
        <f>1*DieselBase-0.0001</f>
        <v>2.6626999999999996</v>
      </c>
      <c r="G21" s="41">
        <f>0*DieselBase</f>
        <v>0</v>
      </c>
      <c r="H21" s="8"/>
      <c r="I21" s="8"/>
    </row>
    <row r="22" spans="1:9" x14ac:dyDescent="0.2">
      <c r="A22" s="8"/>
      <c r="B22" s="171" t="s">
        <v>41</v>
      </c>
      <c r="C22" s="49">
        <v>0</v>
      </c>
      <c r="D22" s="42">
        <v>10</v>
      </c>
      <c r="E22" s="43">
        <f>1*DieselBase</f>
        <v>2.6627999999999998</v>
      </c>
      <c r="F22" s="44">
        <f>1.1*DieselBase</f>
        <v>2.9290799999999999</v>
      </c>
      <c r="G22" s="45">
        <f>0*DieselBase</f>
        <v>0</v>
      </c>
      <c r="H22" s="8"/>
      <c r="I22" s="8"/>
    </row>
    <row r="23" spans="1:9" x14ac:dyDescent="0.2">
      <c r="A23" s="8"/>
      <c r="B23" s="166"/>
      <c r="C23" s="47">
        <v>10</v>
      </c>
      <c r="D23" s="18">
        <v>20</v>
      </c>
      <c r="E23" s="36">
        <f>1.1*DieselBase+0.0001</f>
        <v>2.9291800000000001</v>
      </c>
      <c r="F23" s="19">
        <f>1.2*DieselBase</f>
        <v>3.1953599999999995</v>
      </c>
      <c r="G23" s="20">
        <f>0.1*DieselBase</f>
        <v>0.26628000000000002</v>
      </c>
      <c r="H23" s="8"/>
      <c r="I23" s="8"/>
    </row>
    <row r="24" spans="1:9" x14ac:dyDescent="0.2">
      <c r="A24" s="8"/>
      <c r="B24" s="166"/>
      <c r="C24" s="47">
        <v>20</v>
      </c>
      <c r="D24" s="18">
        <v>30</v>
      </c>
      <c r="E24" s="36">
        <f>1.2*DieselBase+0.0001</f>
        <v>3.1954599999999997</v>
      </c>
      <c r="F24" s="19">
        <f>1.3*DieselBase</f>
        <v>3.4616400000000001</v>
      </c>
      <c r="G24" s="20">
        <f>0.2*DieselBase</f>
        <v>0.53256000000000003</v>
      </c>
      <c r="H24" s="8"/>
      <c r="I24" s="8"/>
    </row>
    <row r="25" spans="1:9" x14ac:dyDescent="0.2">
      <c r="A25" s="8"/>
      <c r="B25" s="166"/>
      <c r="C25" s="47">
        <v>30</v>
      </c>
      <c r="D25" s="18">
        <v>40</v>
      </c>
      <c r="E25" s="36">
        <f>1.3*DieselBase+0.0001</f>
        <v>3.4617400000000003</v>
      </c>
      <c r="F25" s="19">
        <f>1.4*DieselBase</f>
        <v>3.7279199999999997</v>
      </c>
      <c r="G25" s="20">
        <f>0.3*DieselBase</f>
        <v>0.79883999999999988</v>
      </c>
      <c r="H25" s="8"/>
      <c r="I25" s="8"/>
    </row>
    <row r="26" spans="1:9" x14ac:dyDescent="0.2">
      <c r="A26" s="8"/>
      <c r="B26" s="166"/>
      <c r="C26" s="47">
        <v>40</v>
      </c>
      <c r="D26" s="18">
        <v>50</v>
      </c>
      <c r="E26" s="36">
        <f>1.4*DieselBase+0.0001</f>
        <v>3.7280199999999999</v>
      </c>
      <c r="F26" s="19">
        <f>1.5*DieselBase</f>
        <v>3.9941999999999998</v>
      </c>
      <c r="G26" s="20">
        <f>0.4*DieselBase</f>
        <v>1.0651200000000001</v>
      </c>
      <c r="H26" s="8"/>
      <c r="I26" s="8"/>
    </row>
    <row r="27" spans="1:9" x14ac:dyDescent="0.2">
      <c r="A27" s="8"/>
      <c r="B27" s="166"/>
      <c r="C27" s="47">
        <v>50</v>
      </c>
      <c r="D27" s="18">
        <v>60</v>
      </c>
      <c r="E27" s="36">
        <f>1.5*DieselBase+0.0001</f>
        <v>3.9943</v>
      </c>
      <c r="F27" s="19">
        <f>1.6*DieselBase</f>
        <v>4.2604800000000003</v>
      </c>
      <c r="G27" s="20">
        <f>0.5*DieselBase</f>
        <v>1.3313999999999999</v>
      </c>
      <c r="H27" s="8"/>
      <c r="I27" s="8"/>
    </row>
    <row r="28" spans="1:9" x14ac:dyDescent="0.2">
      <c r="A28" s="8"/>
      <c r="B28" s="166"/>
      <c r="C28" s="47">
        <v>60</v>
      </c>
      <c r="D28" s="18">
        <v>70</v>
      </c>
      <c r="E28" s="36">
        <f>1.6*DieselBase+0.0001</f>
        <v>4.26058</v>
      </c>
      <c r="F28" s="19">
        <f>1.7*DieselBase</f>
        <v>4.5267599999999995</v>
      </c>
      <c r="G28" s="20">
        <f>0.6*DieselBase</f>
        <v>1.5976799999999998</v>
      </c>
      <c r="H28" s="8"/>
      <c r="I28" s="8"/>
    </row>
    <row r="29" spans="1:9" x14ac:dyDescent="0.2">
      <c r="A29" s="8"/>
      <c r="B29" s="166"/>
      <c r="C29" s="47">
        <v>70</v>
      </c>
      <c r="D29" s="18">
        <v>80</v>
      </c>
      <c r="E29" s="36">
        <f>1.7*DieselBase+0.0001</f>
        <v>4.5268599999999992</v>
      </c>
      <c r="F29" s="19">
        <f>1.8*DieselBase</f>
        <v>4.7930399999999995</v>
      </c>
      <c r="G29" s="20">
        <f>0.7*DieselBase</f>
        <v>1.8639599999999998</v>
      </c>
      <c r="H29" s="8"/>
      <c r="I29" s="8"/>
    </row>
    <row r="30" spans="1:9" x14ac:dyDescent="0.2">
      <c r="A30" s="8"/>
      <c r="B30" s="166"/>
      <c r="C30" s="47">
        <v>80</v>
      </c>
      <c r="D30" s="18">
        <v>90</v>
      </c>
      <c r="E30" s="36">
        <f>1.8*DieselBase+0.0001</f>
        <v>4.7931399999999993</v>
      </c>
      <c r="F30" s="19">
        <f>1.9*DieselBase</f>
        <v>5.0593199999999996</v>
      </c>
      <c r="G30" s="20">
        <f>0.8*DieselBase</f>
        <v>2.1302400000000001</v>
      </c>
      <c r="H30" s="8"/>
      <c r="I30" s="8"/>
    </row>
    <row r="31" spans="1:9" x14ac:dyDescent="0.2">
      <c r="A31" s="8"/>
      <c r="B31" s="166"/>
      <c r="C31" s="47">
        <v>90</v>
      </c>
      <c r="D31" s="18">
        <v>100</v>
      </c>
      <c r="E31" s="36">
        <f>1.9*DieselBase+0.0001</f>
        <v>5.0594199999999994</v>
      </c>
      <c r="F31" s="19">
        <f>2*DieselBase</f>
        <v>5.3255999999999997</v>
      </c>
      <c r="G31" s="20">
        <f>0.9*DieselBase</f>
        <v>2.3965199999999998</v>
      </c>
      <c r="H31" s="8"/>
      <c r="I31" s="8"/>
    </row>
    <row r="32" spans="1:9" x14ac:dyDescent="0.2">
      <c r="A32" s="8"/>
      <c r="B32" s="166"/>
      <c r="C32" s="47">
        <v>100</v>
      </c>
      <c r="D32" s="18">
        <v>110</v>
      </c>
      <c r="E32" s="36">
        <f>2*DieselBase+0.0001</f>
        <v>5.3256999999999994</v>
      </c>
      <c r="F32" s="19">
        <f>2.1*DieselBase</f>
        <v>5.5918799999999997</v>
      </c>
      <c r="G32" s="20">
        <f>1*DieselBase</f>
        <v>2.6627999999999998</v>
      </c>
      <c r="H32" s="8"/>
      <c r="I32" s="8"/>
    </row>
    <row r="33" spans="1:9" x14ac:dyDescent="0.2">
      <c r="A33" s="8"/>
      <c r="B33" s="166"/>
      <c r="C33" s="47">
        <v>110</v>
      </c>
      <c r="D33" s="18">
        <v>120</v>
      </c>
      <c r="E33" s="36">
        <f>2.1*DieselBase+0.0001</f>
        <v>5.5919799999999995</v>
      </c>
      <c r="F33" s="19">
        <f>2.2*DieselBase</f>
        <v>5.8581599999999998</v>
      </c>
      <c r="G33" s="20">
        <f>1.1*DieselBase</f>
        <v>2.9290799999999999</v>
      </c>
      <c r="H33" s="8"/>
      <c r="I33" s="8"/>
    </row>
    <row r="34" spans="1:9" x14ac:dyDescent="0.2">
      <c r="A34" s="8"/>
      <c r="B34" s="166"/>
      <c r="C34" s="47">
        <v>120</v>
      </c>
      <c r="D34" s="18">
        <v>130</v>
      </c>
      <c r="E34" s="36">
        <f>2.2*DieselBase+0.0001</f>
        <v>5.8582599999999996</v>
      </c>
      <c r="F34" s="19">
        <f>2.3*DieselBase</f>
        <v>6.124439999999999</v>
      </c>
      <c r="G34" s="20">
        <f>1.2*DieselBase</f>
        <v>3.1953599999999995</v>
      </c>
      <c r="H34" s="8"/>
      <c r="I34" s="8"/>
    </row>
    <row r="35" spans="1:9" x14ac:dyDescent="0.2">
      <c r="A35" s="8"/>
      <c r="B35" s="166"/>
      <c r="C35" s="47">
        <v>130</v>
      </c>
      <c r="D35" s="18">
        <v>140</v>
      </c>
      <c r="E35" s="36">
        <f>2.3*DieselBase+0.0001</f>
        <v>6.1245399999999988</v>
      </c>
      <c r="F35" s="19">
        <f>2.4*DieselBase</f>
        <v>6.3907199999999991</v>
      </c>
      <c r="G35" s="20">
        <f>1.3*DieselBase</f>
        <v>3.4616400000000001</v>
      </c>
      <c r="H35" s="8"/>
      <c r="I35" s="8"/>
    </row>
    <row r="36" spans="1:9" x14ac:dyDescent="0.2">
      <c r="A36" s="8"/>
      <c r="B36" s="166"/>
      <c r="C36" s="47">
        <v>140</v>
      </c>
      <c r="D36" s="18">
        <v>150</v>
      </c>
      <c r="E36" s="36">
        <f>2.4*DieselBase+0.0001</f>
        <v>6.3908199999999988</v>
      </c>
      <c r="F36" s="19">
        <f>2.5*DieselBase</f>
        <v>6.657</v>
      </c>
      <c r="G36" s="20">
        <f>1.4*DieselBase</f>
        <v>3.7279199999999997</v>
      </c>
      <c r="H36" s="8"/>
      <c r="I36" s="8"/>
    </row>
    <row r="37" spans="1:9" x14ac:dyDescent="0.2">
      <c r="A37" s="8"/>
      <c r="B37" s="166"/>
      <c r="C37" s="47">
        <v>150</v>
      </c>
      <c r="D37" s="18">
        <v>160</v>
      </c>
      <c r="E37" s="36">
        <f>2.5*DieselBase+0.0001</f>
        <v>6.6570999999999998</v>
      </c>
      <c r="F37" s="19">
        <f>2.6*DieselBase</f>
        <v>6.9232800000000001</v>
      </c>
      <c r="G37" s="20">
        <f>1.5*DieselBase</f>
        <v>3.9941999999999998</v>
      </c>
      <c r="H37" s="8"/>
      <c r="I37" s="8"/>
    </row>
    <row r="38" spans="1:9" x14ac:dyDescent="0.2">
      <c r="A38" s="8"/>
      <c r="B38" s="166"/>
      <c r="C38" s="47">
        <v>160</v>
      </c>
      <c r="D38" s="18">
        <v>170</v>
      </c>
      <c r="E38" s="36">
        <f>2.6*DieselBase+0.0001</f>
        <v>6.9233799999999999</v>
      </c>
      <c r="F38" s="19">
        <f>2.7*DieselBase</f>
        <v>7.1895600000000002</v>
      </c>
      <c r="G38" s="20">
        <f>1.6*DieselBase</f>
        <v>4.2604800000000003</v>
      </c>
      <c r="H38" s="8"/>
      <c r="I38" s="8"/>
    </row>
    <row r="39" spans="1:9" x14ac:dyDescent="0.2">
      <c r="A39" s="8"/>
      <c r="B39" s="166"/>
      <c r="C39" s="47">
        <v>170</v>
      </c>
      <c r="D39" s="18">
        <v>180</v>
      </c>
      <c r="E39" s="36">
        <f>2.7*DieselBase+0.0001</f>
        <v>7.1896599999999999</v>
      </c>
      <c r="F39" s="19">
        <f>2.8*DieselBase</f>
        <v>7.4558399999999994</v>
      </c>
      <c r="G39" s="20">
        <f>1.7*DieselBase</f>
        <v>4.5267599999999995</v>
      </c>
      <c r="H39" s="8"/>
      <c r="I39" s="8"/>
    </row>
    <row r="40" spans="1:9" x14ac:dyDescent="0.2">
      <c r="A40" s="8"/>
      <c r="B40" s="166"/>
      <c r="C40" s="47">
        <v>180</v>
      </c>
      <c r="D40" s="18">
        <v>190</v>
      </c>
      <c r="E40" s="36">
        <f>2.8*DieselBase+0.0001</f>
        <v>7.4559399999999991</v>
      </c>
      <c r="F40" s="19">
        <f>2.9*DieselBase</f>
        <v>7.7221199999999994</v>
      </c>
      <c r="G40" s="20">
        <f>1.8*DieselBase</f>
        <v>4.7930399999999995</v>
      </c>
      <c r="H40" s="8"/>
      <c r="I40" s="8"/>
    </row>
    <row r="41" spans="1:9" x14ac:dyDescent="0.2">
      <c r="A41" s="8"/>
      <c r="B41" s="166"/>
      <c r="C41" s="47">
        <v>190</v>
      </c>
      <c r="D41" s="18">
        <v>200</v>
      </c>
      <c r="E41" s="36">
        <f>2.9*DieselBase+0.0001</f>
        <v>7.7222199999999992</v>
      </c>
      <c r="F41" s="19">
        <f>3*DieselBase</f>
        <v>7.9883999999999995</v>
      </c>
      <c r="G41" s="20">
        <f>1.9*DieselBase</f>
        <v>5.0593199999999996</v>
      </c>
      <c r="H41" s="8"/>
      <c r="I41" s="8"/>
    </row>
    <row r="42" spans="1:9" x14ac:dyDescent="0.2">
      <c r="A42" s="8"/>
      <c r="B42" s="166"/>
      <c r="C42" s="47">
        <v>200</v>
      </c>
      <c r="D42" s="18">
        <v>210</v>
      </c>
      <c r="E42" s="36">
        <f>3*DieselBase+0.0001</f>
        <v>7.9884999999999993</v>
      </c>
      <c r="F42" s="19">
        <f>3.1*DieselBase</f>
        <v>8.2546800000000005</v>
      </c>
      <c r="G42" s="20">
        <f>2*DieselBase</f>
        <v>5.3255999999999997</v>
      </c>
      <c r="H42" s="8"/>
      <c r="I42" s="8"/>
    </row>
    <row r="43" spans="1:9" x14ac:dyDescent="0.2">
      <c r="A43" s="8"/>
      <c r="B43" s="166"/>
      <c r="C43" s="47">
        <v>210</v>
      </c>
      <c r="D43" s="18">
        <v>220</v>
      </c>
      <c r="E43" s="36">
        <f>3.1*DieselBase+0.0001</f>
        <v>8.2547800000000002</v>
      </c>
      <c r="F43" s="19">
        <f>3.2*DieselBase</f>
        <v>8.5209600000000005</v>
      </c>
      <c r="G43" s="20">
        <f>2.1*DieselBase</f>
        <v>5.5918799999999997</v>
      </c>
      <c r="H43" s="8"/>
      <c r="I43" s="8"/>
    </row>
    <row r="44" spans="1:9" x14ac:dyDescent="0.2">
      <c r="A44" s="8"/>
      <c r="B44" s="166"/>
      <c r="C44" s="47">
        <v>220</v>
      </c>
      <c r="D44" s="18">
        <v>230</v>
      </c>
      <c r="E44" s="36">
        <f>3.2*DieselBase+0.0001</f>
        <v>8.5210600000000003</v>
      </c>
      <c r="F44" s="19">
        <f>3.3*DieselBase</f>
        <v>8.7872399999999988</v>
      </c>
      <c r="G44" s="20">
        <f>2.2*DieselBase</f>
        <v>5.8581599999999998</v>
      </c>
      <c r="H44" s="8"/>
      <c r="I44" s="8"/>
    </row>
    <row r="45" spans="1:9" x14ac:dyDescent="0.2">
      <c r="A45" s="8"/>
      <c r="B45" s="166"/>
      <c r="C45" s="47">
        <v>230</v>
      </c>
      <c r="D45" s="18">
        <v>240</v>
      </c>
      <c r="E45" s="36">
        <f>3.3*DieselBase+0.0001</f>
        <v>8.7873399999999986</v>
      </c>
      <c r="F45" s="19">
        <f>3.4*DieselBase</f>
        <v>9.0535199999999989</v>
      </c>
      <c r="G45" s="20">
        <f>2.3*DieselBase</f>
        <v>6.124439999999999</v>
      </c>
      <c r="H45" s="8"/>
      <c r="I45" s="8"/>
    </row>
    <row r="46" spans="1:9" x14ac:dyDescent="0.2">
      <c r="A46" s="8"/>
      <c r="B46" s="166"/>
      <c r="C46" s="47">
        <v>240</v>
      </c>
      <c r="D46" s="18">
        <v>250</v>
      </c>
      <c r="E46" s="36">
        <f>3.4*DieselBase+0.0001</f>
        <v>9.0536199999999987</v>
      </c>
      <c r="F46" s="19">
        <f>3.5*DieselBase</f>
        <v>9.319799999999999</v>
      </c>
      <c r="G46" s="20">
        <f>2.4*DieselBase</f>
        <v>6.3907199999999991</v>
      </c>
      <c r="H46" s="8"/>
      <c r="I46" s="8"/>
    </row>
    <row r="47" spans="1:9" x14ac:dyDescent="0.2">
      <c r="A47" s="8"/>
      <c r="B47" s="166"/>
      <c r="C47" s="47">
        <v>250</v>
      </c>
      <c r="D47" s="18">
        <v>260</v>
      </c>
      <c r="E47" s="36">
        <f>3.5*DieselBase+0.0001</f>
        <v>9.3198999999999987</v>
      </c>
      <c r="F47" s="19">
        <f>3.6*DieselBase</f>
        <v>9.586079999999999</v>
      </c>
      <c r="G47" s="20">
        <f>2.5*DieselBase</f>
        <v>6.657</v>
      </c>
      <c r="H47" s="8"/>
      <c r="I47" s="8"/>
    </row>
    <row r="48" spans="1:9" x14ac:dyDescent="0.2">
      <c r="A48" s="8"/>
      <c r="B48" s="166"/>
      <c r="C48" s="47">
        <v>260</v>
      </c>
      <c r="D48" s="18">
        <v>270</v>
      </c>
      <c r="E48" s="36">
        <f>3.6*DieselBase+0.0001</f>
        <v>9.5861799999999988</v>
      </c>
      <c r="F48" s="19">
        <f>3.7*DieselBase</f>
        <v>9.8523599999999991</v>
      </c>
      <c r="G48" s="20">
        <f>2.6*DieselBase</f>
        <v>6.9232800000000001</v>
      </c>
      <c r="H48" s="8"/>
      <c r="I48" s="8"/>
    </row>
    <row r="49" spans="1:9" x14ac:dyDescent="0.2">
      <c r="A49" s="8"/>
      <c r="B49" s="166"/>
      <c r="C49" s="47">
        <v>270</v>
      </c>
      <c r="D49" s="18">
        <v>280</v>
      </c>
      <c r="E49" s="36">
        <f>3.7*DieselBase+0.0001</f>
        <v>9.8524599999999989</v>
      </c>
      <c r="F49" s="19">
        <f>3.8*DieselBase</f>
        <v>10.118639999999999</v>
      </c>
      <c r="G49" s="20">
        <f>2.7*DieselBase</f>
        <v>7.1895600000000002</v>
      </c>
      <c r="H49" s="8"/>
      <c r="I49" s="8"/>
    </row>
    <row r="50" spans="1:9" x14ac:dyDescent="0.2">
      <c r="A50" s="8"/>
      <c r="B50" s="166"/>
      <c r="C50" s="47">
        <v>280</v>
      </c>
      <c r="D50" s="18">
        <v>290</v>
      </c>
      <c r="E50" s="36">
        <f>3.8*DieselBase+0.0001</f>
        <v>10.118739999999999</v>
      </c>
      <c r="F50" s="19">
        <f>3.9*DieselBase</f>
        <v>10.384919999999999</v>
      </c>
      <c r="G50" s="20">
        <f>2.8*DieselBase</f>
        <v>7.4558399999999994</v>
      </c>
      <c r="H50" s="8"/>
      <c r="I50" s="8"/>
    </row>
    <row r="51" spans="1:9" ht="13.5" thickBot="1" x14ac:dyDescent="0.25">
      <c r="A51" s="8"/>
      <c r="B51" s="169"/>
      <c r="C51" s="50">
        <v>290</v>
      </c>
      <c r="D51" s="21">
        <v>300</v>
      </c>
      <c r="E51" s="51">
        <f>3.9*DieselBase+0.0001</f>
        <v>10.385019999999999</v>
      </c>
      <c r="F51" s="22">
        <f>4*DieselBase</f>
        <v>10.651199999999999</v>
      </c>
      <c r="G51" s="23">
        <f>2.9*DieselBase</f>
        <v>7.7221199999999994</v>
      </c>
      <c r="H51" s="8"/>
      <c r="I51" s="8"/>
    </row>
    <row r="52" spans="1:9" x14ac:dyDescent="0.2">
      <c r="A52" s="8"/>
      <c r="B52" s="24"/>
      <c r="C52" s="9"/>
      <c r="D52" s="9"/>
      <c r="E52" s="25"/>
      <c r="F52" s="25"/>
      <c r="G52" s="25"/>
      <c r="H52" s="8"/>
      <c r="I52" s="8"/>
    </row>
    <row r="53" spans="1:9" x14ac:dyDescent="0.2">
      <c r="A53" s="8"/>
      <c r="B53" s="24"/>
      <c r="C53" s="9"/>
      <c r="D53" s="9"/>
      <c r="E53" s="25"/>
      <c r="F53" s="25"/>
      <c r="G53" s="25"/>
      <c r="H53" s="8"/>
      <c r="I53" s="8"/>
    </row>
    <row r="54" spans="1:9" x14ac:dyDescent="0.2">
      <c r="A54" s="8"/>
      <c r="B54" s="24"/>
      <c r="C54" s="9"/>
      <c r="D54" s="9"/>
      <c r="E54" s="25"/>
      <c r="F54" s="25"/>
      <c r="G54" s="25"/>
      <c r="H54" s="8"/>
      <c r="I54" s="8"/>
    </row>
    <row r="55" spans="1:9" x14ac:dyDescent="0.2">
      <c r="A55" s="8"/>
      <c r="B55" s="24"/>
      <c r="C55" s="9"/>
      <c r="D55" s="9"/>
      <c r="E55" s="25"/>
      <c r="F55" s="25"/>
      <c r="G55" s="25"/>
      <c r="H55" s="8"/>
      <c r="I55" s="8"/>
    </row>
    <row r="56" spans="1:9" x14ac:dyDescent="0.2">
      <c r="A56" s="8"/>
      <c r="B56" s="9"/>
      <c r="C56" s="9"/>
      <c r="D56" s="9"/>
      <c r="E56" s="9"/>
      <c r="F56" s="9"/>
      <c r="G56" s="9"/>
      <c r="H56" s="8"/>
      <c r="I56" s="8"/>
    </row>
    <row r="57" spans="1:9" ht="13.5" thickBot="1" x14ac:dyDescent="0.25">
      <c r="A57" s="8"/>
      <c r="B57" s="9"/>
      <c r="C57" s="9"/>
      <c r="D57" s="9"/>
      <c r="E57" s="9"/>
      <c r="F57" s="9"/>
      <c r="G57" s="9"/>
      <c r="H57" s="8"/>
      <c r="I57" s="8"/>
    </row>
    <row r="58" spans="1:9" ht="15.75" x14ac:dyDescent="0.25">
      <c r="A58" s="8"/>
      <c r="B58" s="156" t="s">
        <v>42</v>
      </c>
      <c r="C58" s="157"/>
      <c r="D58" s="157"/>
      <c r="E58" s="157"/>
      <c r="F58" s="157"/>
      <c r="G58" s="158"/>
      <c r="H58" s="8"/>
      <c r="I58" s="8"/>
    </row>
    <row r="59" spans="1:9" x14ac:dyDescent="0.2">
      <c r="A59" s="8"/>
      <c r="B59" s="10"/>
      <c r="C59" s="2"/>
      <c r="D59" s="2"/>
      <c r="E59" s="2"/>
      <c r="F59" s="2"/>
      <c r="G59" s="11"/>
      <c r="H59" s="8"/>
      <c r="I59" s="8"/>
    </row>
    <row r="60" spans="1:9" x14ac:dyDescent="0.2">
      <c r="A60" s="8"/>
      <c r="B60" s="10"/>
      <c r="C60" s="159" t="s">
        <v>37</v>
      </c>
      <c r="D60" s="160"/>
      <c r="E60" s="12">
        <f>UnleadedBase</f>
        <v>2.3357999999999999</v>
      </c>
      <c r="F60" s="2"/>
      <c r="G60" s="11"/>
      <c r="H60" s="8"/>
      <c r="I60" s="8"/>
    </row>
    <row r="61" spans="1:9" x14ac:dyDescent="0.2">
      <c r="A61" s="8"/>
      <c r="B61" s="10"/>
      <c r="C61" s="161" t="s">
        <v>38</v>
      </c>
      <c r="D61" s="162"/>
      <c r="E61" s="13">
        <f>UnleadedCurrent</f>
        <v>2.3357999999999999</v>
      </c>
      <c r="F61" s="2"/>
      <c r="G61" s="11"/>
      <c r="H61" s="8"/>
      <c r="I61" s="8"/>
    </row>
    <row r="62" spans="1:9" x14ac:dyDescent="0.2">
      <c r="A62" s="8"/>
      <c r="B62" s="10"/>
      <c r="C62" s="163" t="s">
        <v>39</v>
      </c>
      <c r="D62" s="164"/>
      <c r="E62" s="14">
        <f>VLOOKUP(E61,E67:G106,3)</f>
        <v>0</v>
      </c>
      <c r="F62" s="2"/>
      <c r="G62" s="11"/>
      <c r="H62" s="8"/>
      <c r="I62" s="8"/>
    </row>
    <row r="63" spans="1:9" x14ac:dyDescent="0.2">
      <c r="A63" s="8"/>
      <c r="B63" s="10"/>
      <c r="C63" s="2"/>
      <c r="D63" s="2"/>
      <c r="E63" s="2"/>
      <c r="F63" s="2"/>
      <c r="G63" s="11"/>
      <c r="H63" s="8"/>
      <c r="I63" s="8"/>
    </row>
    <row r="64" spans="1:9" x14ac:dyDescent="0.2">
      <c r="A64" s="8"/>
      <c r="B64" s="10"/>
      <c r="C64" s="2"/>
      <c r="D64" s="2"/>
      <c r="E64" s="2"/>
      <c r="F64" s="2"/>
      <c r="G64" s="11"/>
      <c r="H64" s="8"/>
      <c r="I64" s="8"/>
    </row>
    <row r="65" spans="1:9" x14ac:dyDescent="0.2">
      <c r="A65" s="8"/>
      <c r="B65" s="10"/>
      <c r="C65" s="2"/>
      <c r="D65" s="2"/>
      <c r="E65" s="2"/>
      <c r="F65" s="2"/>
      <c r="G65" s="11"/>
      <c r="H65" s="8"/>
      <c r="I65" s="8"/>
    </row>
    <row r="66" spans="1:9" ht="13.5" thickBot="1" x14ac:dyDescent="0.25">
      <c r="A66" s="8"/>
      <c r="B66" s="10"/>
      <c r="C66" s="2"/>
      <c r="D66" s="2"/>
      <c r="E66" s="2"/>
      <c r="F66" s="2"/>
      <c r="G66" s="11"/>
      <c r="H66" s="8"/>
      <c r="I66" s="8"/>
    </row>
    <row r="67" spans="1:9" x14ac:dyDescent="0.2">
      <c r="A67" s="8"/>
      <c r="B67" s="165" t="s">
        <v>40</v>
      </c>
      <c r="C67" s="46">
        <v>90</v>
      </c>
      <c r="D67" s="15">
        <v>100</v>
      </c>
      <c r="E67" s="35">
        <f>0*UnleadedBase</f>
        <v>0</v>
      </c>
      <c r="F67" s="16">
        <f>0.1*UnleadedBase-0.0001</f>
        <v>0.23348000000000002</v>
      </c>
      <c r="G67" s="17">
        <f>-0.9*UnleadedBase</f>
        <v>-2.10222</v>
      </c>
      <c r="H67" s="8"/>
      <c r="I67" s="8"/>
    </row>
    <row r="68" spans="1:9" x14ac:dyDescent="0.2">
      <c r="A68" s="8"/>
      <c r="B68" s="166"/>
      <c r="C68" s="47">
        <v>80</v>
      </c>
      <c r="D68" s="18">
        <v>90</v>
      </c>
      <c r="E68" s="37">
        <f>0.1*UnleadedBase</f>
        <v>0.23358000000000001</v>
      </c>
      <c r="F68" s="19">
        <f>0.2*UnleadedBase-0.0001</f>
        <v>0.46706000000000003</v>
      </c>
      <c r="G68" s="20">
        <f>-0.8*UnleadedBase</f>
        <v>-1.8686400000000001</v>
      </c>
      <c r="H68" s="8"/>
      <c r="I68" s="8"/>
    </row>
    <row r="69" spans="1:9" x14ac:dyDescent="0.2">
      <c r="A69" s="8"/>
      <c r="B69" s="166"/>
      <c r="C69" s="47">
        <v>70</v>
      </c>
      <c r="D69" s="18">
        <v>80</v>
      </c>
      <c r="E69" s="37">
        <f>0.2*UnleadedBase</f>
        <v>0.46716000000000002</v>
      </c>
      <c r="F69" s="19">
        <f>0.3*UnleadedBase-0.0001</f>
        <v>0.70063999999999993</v>
      </c>
      <c r="G69" s="20">
        <f>-0.7*UnleadedBase</f>
        <v>-1.6350599999999997</v>
      </c>
      <c r="H69" s="8"/>
      <c r="I69" s="8"/>
    </row>
    <row r="70" spans="1:9" x14ac:dyDescent="0.2">
      <c r="A70" s="8"/>
      <c r="B70" s="166"/>
      <c r="C70" s="47">
        <v>60</v>
      </c>
      <c r="D70" s="18">
        <v>70</v>
      </c>
      <c r="E70" s="37">
        <f>0.3*UnleadedBase</f>
        <v>0.70073999999999992</v>
      </c>
      <c r="F70" s="19">
        <f>0.4*UnleadedBase-0.0001</f>
        <v>0.93422000000000005</v>
      </c>
      <c r="G70" s="20">
        <f>-0.6*UnleadedBase</f>
        <v>-1.4014799999999998</v>
      </c>
      <c r="H70" s="8"/>
      <c r="I70" s="8"/>
    </row>
    <row r="71" spans="1:9" x14ac:dyDescent="0.2">
      <c r="A71" s="8"/>
      <c r="B71" s="166"/>
      <c r="C71" s="47">
        <v>50</v>
      </c>
      <c r="D71" s="18">
        <v>60</v>
      </c>
      <c r="E71" s="37">
        <f>0.4*UnleadedBase</f>
        <v>0.93432000000000004</v>
      </c>
      <c r="F71" s="19">
        <f>0.5*UnleadedBase-0.0001</f>
        <v>1.1677999999999999</v>
      </c>
      <c r="G71" s="20">
        <f>-0.5*UnleadedBase</f>
        <v>-1.1678999999999999</v>
      </c>
      <c r="H71" s="8"/>
      <c r="I71" s="8"/>
    </row>
    <row r="72" spans="1:9" x14ac:dyDescent="0.2">
      <c r="A72" s="8"/>
      <c r="B72" s="166"/>
      <c r="C72" s="47">
        <v>40</v>
      </c>
      <c r="D72" s="18">
        <v>50</v>
      </c>
      <c r="E72" s="37">
        <f>0.5*UnleadedBase</f>
        <v>1.1678999999999999</v>
      </c>
      <c r="F72" s="19">
        <f>0.6*UnleadedBase-0.0001</f>
        <v>1.4013799999999998</v>
      </c>
      <c r="G72" s="20">
        <f>-0.4*UnleadedBase</f>
        <v>-0.93432000000000004</v>
      </c>
      <c r="H72" s="8"/>
      <c r="I72" s="8"/>
    </row>
    <row r="73" spans="1:9" x14ac:dyDescent="0.2">
      <c r="A73" s="8"/>
      <c r="B73" s="166"/>
      <c r="C73" s="47">
        <v>30</v>
      </c>
      <c r="D73" s="18">
        <v>40</v>
      </c>
      <c r="E73" s="37">
        <f>0.6*UnleadedBase</f>
        <v>1.4014799999999998</v>
      </c>
      <c r="F73" s="19">
        <f>0.7*UnleadedBase-0.0001</f>
        <v>1.6349599999999997</v>
      </c>
      <c r="G73" s="20">
        <f>-0.3*UnleadedBase</f>
        <v>-0.70073999999999992</v>
      </c>
      <c r="H73" s="8"/>
      <c r="I73" s="8"/>
    </row>
    <row r="74" spans="1:9" x14ac:dyDescent="0.2">
      <c r="A74" s="8"/>
      <c r="B74" s="166"/>
      <c r="C74" s="47">
        <v>20</v>
      </c>
      <c r="D74" s="18">
        <v>30</v>
      </c>
      <c r="E74" s="37">
        <f>0.7*UnleadedBase</f>
        <v>1.6350599999999997</v>
      </c>
      <c r="F74" s="19">
        <f>0.8*UnleadedBase-0.0001</f>
        <v>1.8685400000000001</v>
      </c>
      <c r="G74" s="20">
        <f>-0.2*UnleadedBase</f>
        <v>-0.46716000000000002</v>
      </c>
      <c r="H74" s="8"/>
      <c r="I74" s="8"/>
    </row>
    <row r="75" spans="1:9" x14ac:dyDescent="0.2">
      <c r="A75" s="8"/>
      <c r="B75" s="166"/>
      <c r="C75" s="47">
        <v>10</v>
      </c>
      <c r="D75" s="18">
        <v>20</v>
      </c>
      <c r="E75" s="37">
        <f>0.8*UnleadedBase</f>
        <v>1.8686400000000001</v>
      </c>
      <c r="F75" s="19">
        <f>0.9*UnleadedBase-0.0001</f>
        <v>2.1021199999999998</v>
      </c>
      <c r="G75" s="20">
        <f>-0.1*UnleadedBase</f>
        <v>-0.23358000000000001</v>
      </c>
      <c r="H75" s="8"/>
      <c r="I75" s="8"/>
    </row>
    <row r="76" spans="1:9" x14ac:dyDescent="0.2">
      <c r="A76" s="8"/>
      <c r="B76" s="167"/>
      <c r="C76" s="54">
        <v>0</v>
      </c>
      <c r="D76" s="53">
        <v>10</v>
      </c>
      <c r="E76" s="39">
        <f>0.9*UnleadedBase</f>
        <v>2.10222</v>
      </c>
      <c r="F76" s="40">
        <f>1*UnleadedBase-0.0001</f>
        <v>2.3356999999999997</v>
      </c>
      <c r="G76" s="41">
        <f>0*UnleadedBase</f>
        <v>0</v>
      </c>
      <c r="H76" s="8"/>
      <c r="I76" s="8"/>
    </row>
    <row r="77" spans="1:9" x14ac:dyDescent="0.2">
      <c r="A77" s="8"/>
      <c r="B77" s="168" t="s">
        <v>41</v>
      </c>
      <c r="C77" s="55">
        <v>0</v>
      </c>
      <c r="D77" s="52">
        <v>10</v>
      </c>
      <c r="E77" s="43">
        <f>1*UnleadedBase</f>
        <v>2.3357999999999999</v>
      </c>
      <c r="F77" s="44">
        <f>1.1*UnleadedBase</f>
        <v>2.5693800000000002</v>
      </c>
      <c r="G77" s="45">
        <f>0*UnleadedBase</f>
        <v>0</v>
      </c>
      <c r="H77" s="8"/>
      <c r="I77" s="8"/>
    </row>
    <row r="78" spans="1:9" x14ac:dyDescent="0.2">
      <c r="A78" s="8"/>
      <c r="B78" s="166"/>
      <c r="C78" s="47">
        <v>10</v>
      </c>
      <c r="D78" s="18">
        <v>20</v>
      </c>
      <c r="E78" s="36">
        <f>1.1*UnleadedBase+0.0001</f>
        <v>2.5694800000000004</v>
      </c>
      <c r="F78" s="19">
        <f>1.2*UnleadedBase</f>
        <v>2.8029599999999997</v>
      </c>
      <c r="G78" s="20">
        <f>0.1*UnleadedBase</f>
        <v>0.23358000000000001</v>
      </c>
      <c r="H78" s="8"/>
      <c r="I78" s="8"/>
    </row>
    <row r="79" spans="1:9" x14ac:dyDescent="0.2">
      <c r="A79" s="8"/>
      <c r="B79" s="166"/>
      <c r="C79" s="47">
        <v>20</v>
      </c>
      <c r="D79" s="18">
        <v>30</v>
      </c>
      <c r="E79" s="36">
        <f>1.2*UnleadedBase+0.0001</f>
        <v>2.8030599999999999</v>
      </c>
      <c r="F79" s="19">
        <f>1.3*UnleadedBase</f>
        <v>3.03654</v>
      </c>
      <c r="G79" s="20">
        <f>0.2*UnleadedBase</f>
        <v>0.46716000000000002</v>
      </c>
      <c r="H79" s="8"/>
      <c r="I79" s="8"/>
    </row>
    <row r="80" spans="1:9" x14ac:dyDescent="0.2">
      <c r="A80" s="8"/>
      <c r="B80" s="166"/>
      <c r="C80" s="47">
        <v>30</v>
      </c>
      <c r="D80" s="18">
        <v>40</v>
      </c>
      <c r="E80" s="36">
        <f>1.3*UnleadedBase+0.0001</f>
        <v>3.0366400000000002</v>
      </c>
      <c r="F80" s="19">
        <f>1.4*UnleadedBase</f>
        <v>3.2701199999999995</v>
      </c>
      <c r="G80" s="20">
        <f>0.3*UnleadedBase</f>
        <v>0.70073999999999992</v>
      </c>
      <c r="H80" s="8"/>
      <c r="I80" s="8"/>
    </row>
    <row r="81" spans="1:9" x14ac:dyDescent="0.2">
      <c r="A81" s="8"/>
      <c r="B81" s="166"/>
      <c r="C81" s="47">
        <v>40</v>
      </c>
      <c r="D81" s="18">
        <v>50</v>
      </c>
      <c r="E81" s="36">
        <f>1.4*UnleadedBase+0.0001</f>
        <v>3.2702199999999997</v>
      </c>
      <c r="F81" s="19">
        <f>1.5*UnleadedBase</f>
        <v>3.5036999999999998</v>
      </c>
      <c r="G81" s="20">
        <f>0.4*UnleadedBase</f>
        <v>0.93432000000000004</v>
      </c>
      <c r="H81" s="8"/>
      <c r="I81" s="8"/>
    </row>
    <row r="82" spans="1:9" x14ac:dyDescent="0.2">
      <c r="A82" s="8"/>
      <c r="B82" s="166"/>
      <c r="C82" s="47">
        <v>50</v>
      </c>
      <c r="D82" s="18">
        <v>60</v>
      </c>
      <c r="E82" s="36">
        <f>1.5*UnleadedBase+0.0001</f>
        <v>3.5038</v>
      </c>
      <c r="F82" s="19">
        <f>1.6*UnleadedBase</f>
        <v>3.7372800000000002</v>
      </c>
      <c r="G82" s="20">
        <f>0.5*UnleadedBase</f>
        <v>1.1678999999999999</v>
      </c>
      <c r="H82" s="8"/>
      <c r="I82" s="8"/>
    </row>
    <row r="83" spans="1:9" x14ac:dyDescent="0.2">
      <c r="A83" s="8"/>
      <c r="B83" s="166"/>
      <c r="C83" s="47">
        <v>60</v>
      </c>
      <c r="D83" s="18">
        <v>70</v>
      </c>
      <c r="E83" s="36">
        <f>1.6*UnleadedBase+0.0001</f>
        <v>3.7373800000000004</v>
      </c>
      <c r="F83" s="19">
        <f>1.7*UnleadedBase</f>
        <v>3.9708599999999996</v>
      </c>
      <c r="G83" s="20">
        <f>0.6*UnleadedBase</f>
        <v>1.4014799999999998</v>
      </c>
      <c r="H83" s="8"/>
      <c r="I83" s="8"/>
    </row>
    <row r="84" spans="1:9" x14ac:dyDescent="0.2">
      <c r="A84" s="8"/>
      <c r="B84" s="166"/>
      <c r="C84" s="47">
        <v>70</v>
      </c>
      <c r="D84" s="18">
        <v>80</v>
      </c>
      <c r="E84" s="36">
        <f>1.7*UnleadedBase+0.0001</f>
        <v>3.9709599999999998</v>
      </c>
      <c r="F84" s="19">
        <f>1.8*UnleadedBase</f>
        <v>4.20444</v>
      </c>
      <c r="G84" s="20">
        <f>0.7*UnleadedBase</f>
        <v>1.6350599999999997</v>
      </c>
      <c r="H84" s="8"/>
      <c r="I84" s="8"/>
    </row>
    <row r="85" spans="1:9" x14ac:dyDescent="0.2">
      <c r="A85" s="8"/>
      <c r="B85" s="166"/>
      <c r="C85" s="47">
        <v>80</v>
      </c>
      <c r="D85" s="18">
        <v>90</v>
      </c>
      <c r="E85" s="36">
        <f>1.8*UnleadedBase+0.0001</f>
        <v>4.2045399999999997</v>
      </c>
      <c r="F85" s="19">
        <f>1.9*UnleadedBase</f>
        <v>4.4380199999999999</v>
      </c>
      <c r="G85" s="20">
        <f>0.8*UnleadedBase</f>
        <v>1.8686400000000001</v>
      </c>
      <c r="H85" s="8"/>
      <c r="I85" s="8"/>
    </row>
    <row r="86" spans="1:9" x14ac:dyDescent="0.2">
      <c r="A86" s="8"/>
      <c r="B86" s="166"/>
      <c r="C86" s="47">
        <v>90</v>
      </c>
      <c r="D86" s="18">
        <v>100</v>
      </c>
      <c r="E86" s="36">
        <f>1.9*UnleadedBase+0.0001</f>
        <v>4.4381199999999996</v>
      </c>
      <c r="F86" s="19">
        <f>2*UnleadedBase</f>
        <v>4.6715999999999998</v>
      </c>
      <c r="G86" s="20">
        <f>0.9*UnleadedBase</f>
        <v>2.10222</v>
      </c>
      <c r="H86" s="8"/>
      <c r="I86" s="8"/>
    </row>
    <row r="87" spans="1:9" x14ac:dyDescent="0.2">
      <c r="A87" s="8"/>
      <c r="B87" s="166"/>
      <c r="C87" s="47">
        <v>100</v>
      </c>
      <c r="D87" s="18">
        <v>110</v>
      </c>
      <c r="E87" s="36">
        <f>2*UnleadedBase+0.0001</f>
        <v>4.6716999999999995</v>
      </c>
      <c r="F87" s="19">
        <f>2.1*UnleadedBase</f>
        <v>4.9051799999999997</v>
      </c>
      <c r="G87" s="20">
        <f>1*UnleadedBase</f>
        <v>2.3357999999999999</v>
      </c>
      <c r="H87" s="8"/>
      <c r="I87" s="8"/>
    </row>
    <row r="88" spans="1:9" x14ac:dyDescent="0.2">
      <c r="A88" s="8"/>
      <c r="B88" s="166"/>
      <c r="C88" s="47">
        <v>110</v>
      </c>
      <c r="D88" s="18">
        <v>120</v>
      </c>
      <c r="E88" s="36">
        <f>2.1*UnleadedBase+0.0001</f>
        <v>4.9052799999999994</v>
      </c>
      <c r="F88" s="19">
        <f>2.2*UnleadedBase</f>
        <v>5.1387600000000004</v>
      </c>
      <c r="G88" s="20">
        <f>1.1*UnleadedBase</f>
        <v>2.5693800000000002</v>
      </c>
      <c r="H88" s="8"/>
      <c r="I88" s="8"/>
    </row>
    <row r="89" spans="1:9" x14ac:dyDescent="0.2">
      <c r="A89" s="8"/>
      <c r="B89" s="166"/>
      <c r="C89" s="47">
        <v>120</v>
      </c>
      <c r="D89" s="18">
        <v>130</v>
      </c>
      <c r="E89" s="36">
        <f>2.2*UnleadedBase+0.0001</f>
        <v>5.1388600000000002</v>
      </c>
      <c r="F89" s="19">
        <f>2.3*UnleadedBase</f>
        <v>5.3723399999999994</v>
      </c>
      <c r="G89" s="20">
        <f>1.2*UnleadedBase</f>
        <v>2.8029599999999997</v>
      </c>
      <c r="H89" s="8"/>
      <c r="I89" s="8"/>
    </row>
    <row r="90" spans="1:9" x14ac:dyDescent="0.2">
      <c r="A90" s="8"/>
      <c r="B90" s="166"/>
      <c r="C90" s="47">
        <v>130</v>
      </c>
      <c r="D90" s="18">
        <v>140</v>
      </c>
      <c r="E90" s="36">
        <f>2.3*UnleadedBase+0.0001</f>
        <v>5.3724399999999992</v>
      </c>
      <c r="F90" s="19">
        <f>2.4*UnleadedBase</f>
        <v>5.6059199999999993</v>
      </c>
      <c r="G90" s="20">
        <f>1.3*UnleadedBase</f>
        <v>3.03654</v>
      </c>
      <c r="H90" s="8"/>
      <c r="I90" s="8"/>
    </row>
    <row r="91" spans="1:9" x14ac:dyDescent="0.2">
      <c r="A91" s="8"/>
      <c r="B91" s="166"/>
      <c r="C91" s="47">
        <v>140</v>
      </c>
      <c r="D91" s="18">
        <v>150</v>
      </c>
      <c r="E91" s="36">
        <f>2.4*UnleadedBase+0.0001</f>
        <v>5.6060199999999991</v>
      </c>
      <c r="F91" s="19">
        <f>2.5*UnleadedBase</f>
        <v>5.8394999999999992</v>
      </c>
      <c r="G91" s="20">
        <f>1.4*UnleadedBase</f>
        <v>3.2701199999999995</v>
      </c>
      <c r="H91" s="8"/>
      <c r="I91" s="8"/>
    </row>
    <row r="92" spans="1:9" x14ac:dyDescent="0.2">
      <c r="A92" s="8"/>
      <c r="B92" s="166"/>
      <c r="C92" s="47">
        <v>150</v>
      </c>
      <c r="D92" s="18">
        <v>160</v>
      </c>
      <c r="E92" s="36">
        <f>2.5*UnleadedBase+0.0001</f>
        <v>5.839599999999999</v>
      </c>
      <c r="F92" s="19">
        <f>2.6*UnleadedBase</f>
        <v>6.07308</v>
      </c>
      <c r="G92" s="20">
        <f>1.5*UnleadedBase</f>
        <v>3.5036999999999998</v>
      </c>
      <c r="H92" s="8"/>
      <c r="I92" s="8"/>
    </row>
    <row r="93" spans="1:9" x14ac:dyDescent="0.2">
      <c r="A93" s="8"/>
      <c r="B93" s="166"/>
      <c r="C93" s="47">
        <v>160</v>
      </c>
      <c r="D93" s="18">
        <v>170</v>
      </c>
      <c r="E93" s="36">
        <f>2.6*UnleadedBase+0.0001</f>
        <v>6.0731799999999998</v>
      </c>
      <c r="F93" s="19">
        <f>2.7*UnleadedBase</f>
        <v>6.3066599999999999</v>
      </c>
      <c r="G93" s="20">
        <f>1.6*UnleadedBase</f>
        <v>3.7372800000000002</v>
      </c>
      <c r="H93" s="8"/>
      <c r="I93" s="8"/>
    </row>
    <row r="94" spans="1:9" x14ac:dyDescent="0.2">
      <c r="A94" s="8"/>
      <c r="B94" s="166"/>
      <c r="C94" s="47">
        <v>170</v>
      </c>
      <c r="D94" s="18">
        <v>180</v>
      </c>
      <c r="E94" s="36">
        <f>2.7*UnleadedBase+0.0001</f>
        <v>6.3067599999999997</v>
      </c>
      <c r="F94" s="19">
        <f>2.8*UnleadedBase</f>
        <v>6.5402399999999989</v>
      </c>
      <c r="G94" s="20">
        <f>1.7*UnleadedBase</f>
        <v>3.9708599999999996</v>
      </c>
      <c r="H94" s="8"/>
      <c r="I94" s="8"/>
    </row>
    <row r="95" spans="1:9" x14ac:dyDescent="0.2">
      <c r="A95" s="8"/>
      <c r="B95" s="166"/>
      <c r="C95" s="47">
        <v>180</v>
      </c>
      <c r="D95" s="18">
        <v>190</v>
      </c>
      <c r="E95" s="36">
        <f>2.8*UnleadedBase+0.0001</f>
        <v>6.5403399999999987</v>
      </c>
      <c r="F95" s="19">
        <f>2.9*UnleadedBase</f>
        <v>6.7738199999999997</v>
      </c>
      <c r="G95" s="20">
        <f>1.8*UnleadedBase</f>
        <v>4.20444</v>
      </c>
      <c r="H95" s="8"/>
      <c r="I95" s="8"/>
    </row>
    <row r="96" spans="1:9" x14ac:dyDescent="0.2">
      <c r="A96" s="8"/>
      <c r="B96" s="166"/>
      <c r="C96" s="47">
        <v>190</v>
      </c>
      <c r="D96" s="18">
        <v>200</v>
      </c>
      <c r="E96" s="36">
        <f>2.9*UnleadedBase+0.0001</f>
        <v>6.7739199999999995</v>
      </c>
      <c r="F96" s="19">
        <f>3*UnleadedBase</f>
        <v>7.0073999999999996</v>
      </c>
      <c r="G96" s="20">
        <f>1.9*UnleadedBase</f>
        <v>4.4380199999999999</v>
      </c>
      <c r="H96" s="8"/>
      <c r="I96" s="8"/>
    </row>
    <row r="97" spans="1:9" x14ac:dyDescent="0.2">
      <c r="A97" s="8"/>
      <c r="B97" s="166"/>
      <c r="C97" s="47">
        <v>200</v>
      </c>
      <c r="D97" s="18">
        <v>210</v>
      </c>
      <c r="E97" s="36">
        <f>3*UnleadedBase+0.0001</f>
        <v>7.0074999999999994</v>
      </c>
      <c r="F97" s="19">
        <f>3.1*UnleadedBase</f>
        <v>7.2409799999999995</v>
      </c>
      <c r="G97" s="20">
        <f>2*UnleadedBase</f>
        <v>4.6715999999999998</v>
      </c>
      <c r="H97" s="8"/>
      <c r="I97" s="8"/>
    </row>
    <row r="98" spans="1:9" x14ac:dyDescent="0.2">
      <c r="A98" s="8"/>
      <c r="B98" s="166"/>
      <c r="C98" s="47">
        <v>210</v>
      </c>
      <c r="D98" s="18">
        <v>220</v>
      </c>
      <c r="E98" s="36">
        <f>3.1*UnleadedBase+0.0001</f>
        <v>7.2410799999999993</v>
      </c>
      <c r="F98" s="19">
        <f>3.2*UnleadedBase</f>
        <v>7.4745600000000003</v>
      </c>
      <c r="G98" s="20">
        <f>2.1*UnleadedBase</f>
        <v>4.9051799999999997</v>
      </c>
      <c r="H98" s="8"/>
      <c r="I98" s="8"/>
    </row>
    <row r="99" spans="1:9" x14ac:dyDescent="0.2">
      <c r="A99" s="8"/>
      <c r="B99" s="166"/>
      <c r="C99" s="47">
        <v>220</v>
      </c>
      <c r="D99" s="18">
        <v>230</v>
      </c>
      <c r="E99" s="36">
        <f>3.2*UnleadedBase+0.0001</f>
        <v>7.4746600000000001</v>
      </c>
      <c r="F99" s="19">
        <f>3.3*UnleadedBase</f>
        <v>7.7081399999999993</v>
      </c>
      <c r="G99" s="20">
        <f>2.2*UnleadedBase</f>
        <v>5.1387600000000004</v>
      </c>
      <c r="H99" s="8"/>
      <c r="I99" s="8"/>
    </row>
    <row r="100" spans="1:9" x14ac:dyDescent="0.2">
      <c r="A100" s="8"/>
      <c r="B100" s="166"/>
      <c r="C100" s="47">
        <v>230</v>
      </c>
      <c r="D100" s="18">
        <v>240</v>
      </c>
      <c r="E100" s="36">
        <f>3.3*UnleadedBase+0.0001</f>
        <v>7.7082399999999991</v>
      </c>
      <c r="F100" s="19">
        <f>3.4*UnleadedBase</f>
        <v>7.9417199999999992</v>
      </c>
      <c r="G100" s="20">
        <f>2.3*UnleadedBase</f>
        <v>5.3723399999999994</v>
      </c>
      <c r="H100" s="8"/>
      <c r="I100" s="8"/>
    </row>
    <row r="101" spans="1:9" x14ac:dyDescent="0.2">
      <c r="A101" s="8"/>
      <c r="B101" s="166"/>
      <c r="C101" s="47">
        <v>240</v>
      </c>
      <c r="D101" s="18">
        <v>250</v>
      </c>
      <c r="E101" s="36">
        <f>3.4*UnleadedBase+0.0001</f>
        <v>7.941819999999999</v>
      </c>
      <c r="F101" s="19">
        <f>3.5*UnleadedBase</f>
        <v>8.1753</v>
      </c>
      <c r="G101" s="20">
        <f>2.4*UnleadedBase</f>
        <v>5.6059199999999993</v>
      </c>
      <c r="H101" s="8"/>
      <c r="I101" s="8"/>
    </row>
    <row r="102" spans="1:9" x14ac:dyDescent="0.2">
      <c r="A102" s="8"/>
      <c r="B102" s="166"/>
      <c r="C102" s="47">
        <v>250</v>
      </c>
      <c r="D102" s="18">
        <v>260</v>
      </c>
      <c r="E102" s="36">
        <f>3.5*UnleadedBase+0.0001</f>
        <v>8.1753999999999998</v>
      </c>
      <c r="F102" s="19">
        <f>3.6*UnleadedBase</f>
        <v>8.4088799999999999</v>
      </c>
      <c r="G102" s="20">
        <f>2.5*UnleadedBase</f>
        <v>5.8394999999999992</v>
      </c>
      <c r="H102" s="8"/>
      <c r="I102" s="8"/>
    </row>
    <row r="103" spans="1:9" x14ac:dyDescent="0.2">
      <c r="A103" s="8"/>
      <c r="B103" s="166"/>
      <c r="C103" s="47">
        <v>260</v>
      </c>
      <c r="D103" s="18">
        <v>270</v>
      </c>
      <c r="E103" s="36">
        <f>3.6*UnleadedBase+0.0001</f>
        <v>8.4089799999999997</v>
      </c>
      <c r="F103" s="19">
        <f>3.7*UnleadedBase</f>
        <v>8.6424599999999998</v>
      </c>
      <c r="G103" s="20">
        <f>2.6*UnleadedBase</f>
        <v>6.07308</v>
      </c>
      <c r="H103" s="8"/>
      <c r="I103" s="8"/>
    </row>
    <row r="104" spans="1:9" x14ac:dyDescent="0.2">
      <c r="A104" s="8"/>
      <c r="B104" s="166"/>
      <c r="C104" s="47">
        <v>270</v>
      </c>
      <c r="D104" s="18">
        <v>280</v>
      </c>
      <c r="E104" s="36">
        <f>3.7*UnleadedBase+0.0001</f>
        <v>8.6425599999999996</v>
      </c>
      <c r="F104" s="19">
        <f>3.8*UnleadedBase</f>
        <v>8.8760399999999997</v>
      </c>
      <c r="G104" s="20">
        <f>2.7*UnleadedBase</f>
        <v>6.3066599999999999</v>
      </c>
      <c r="H104" s="8"/>
      <c r="I104" s="8"/>
    </row>
    <row r="105" spans="1:9" x14ac:dyDescent="0.2">
      <c r="A105" s="8"/>
      <c r="B105" s="166"/>
      <c r="C105" s="47">
        <v>280</v>
      </c>
      <c r="D105" s="18">
        <v>290</v>
      </c>
      <c r="E105" s="36">
        <f>3.8*UnleadedBase+0.0001</f>
        <v>8.8761399999999995</v>
      </c>
      <c r="F105" s="19">
        <f>3.9*UnleadedBase</f>
        <v>9.1096199999999996</v>
      </c>
      <c r="G105" s="20">
        <f>2.8*UnleadedBase</f>
        <v>6.5402399999999989</v>
      </c>
      <c r="H105" s="8"/>
      <c r="I105" s="8"/>
    </row>
    <row r="106" spans="1:9" ht="13.5" thickBot="1" x14ac:dyDescent="0.25">
      <c r="A106" s="8"/>
      <c r="B106" s="169"/>
      <c r="C106" s="50">
        <v>290</v>
      </c>
      <c r="D106" s="21">
        <v>300</v>
      </c>
      <c r="E106" s="51">
        <f>3.9*UnleadedBase+0.0001</f>
        <v>9.1097199999999994</v>
      </c>
      <c r="F106" s="22">
        <f>4*UnleadedBase</f>
        <v>9.3431999999999995</v>
      </c>
      <c r="G106" s="23">
        <f>2.9*UnleadedBase</f>
        <v>6.7738199999999997</v>
      </c>
      <c r="H106" s="8"/>
      <c r="I106" s="8"/>
    </row>
    <row r="107" spans="1:9" x14ac:dyDescent="0.2">
      <c r="A107" s="8"/>
      <c r="B107" s="24"/>
      <c r="C107" s="9"/>
      <c r="D107" s="9"/>
      <c r="E107" s="25"/>
      <c r="F107" s="25"/>
      <c r="G107" s="25"/>
      <c r="H107" s="8"/>
      <c r="I107" s="8"/>
    </row>
    <row r="108" spans="1:9" x14ac:dyDescent="0.2">
      <c r="A108" s="8"/>
      <c r="B108" s="24"/>
      <c r="C108" s="9"/>
      <c r="D108" s="9"/>
      <c r="E108" s="25"/>
      <c r="F108" s="25"/>
      <c r="G108" s="25"/>
      <c r="H108" s="8"/>
      <c r="I108" s="8"/>
    </row>
    <row r="109" spans="1:9" x14ac:dyDescent="0.2">
      <c r="A109" s="8"/>
      <c r="B109" s="24"/>
      <c r="C109" s="9"/>
      <c r="D109" s="9"/>
      <c r="E109" s="25"/>
      <c r="F109" s="25"/>
      <c r="G109" s="25"/>
      <c r="H109" s="8"/>
      <c r="I109" s="8"/>
    </row>
    <row r="110" spans="1:9" x14ac:dyDescent="0.2">
      <c r="A110" s="8"/>
      <c r="B110" s="24"/>
      <c r="C110" s="9"/>
      <c r="D110" s="9"/>
      <c r="E110" s="25"/>
      <c r="F110" s="25"/>
      <c r="G110" s="25"/>
      <c r="H110" s="8"/>
      <c r="I110" s="8"/>
    </row>
  </sheetData>
  <sheetProtection algorithmName="SHA-512" hashValue="2zvdgFTO1HckVd6ZqawuVnd+gGi2NRFQx4lb0swIRR/5uOV53HOF/oyqlJe/D4fQQWt4OI4803AgeTJJgMtaUQ==" saltValue="sz5Zdrms3Bms/saMjYKw4Q==" spinCount="100000" sheet="1" objects="1" scenarios="1"/>
  <mergeCells count="12">
    <mergeCell ref="B67:B76"/>
    <mergeCell ref="B77:B106"/>
    <mergeCell ref="B12:B21"/>
    <mergeCell ref="B22:B51"/>
    <mergeCell ref="B58:G58"/>
    <mergeCell ref="C60:D60"/>
    <mergeCell ref="C62:D62"/>
    <mergeCell ref="B3:G3"/>
    <mergeCell ref="C5:D5"/>
    <mergeCell ref="C6:D6"/>
    <mergeCell ref="C7:D7"/>
    <mergeCell ref="C61:D61"/>
  </mergeCells>
  <phoneticPr fontId="0" type="noConversion"/>
  <conditionalFormatting sqref="G12:G51">
    <cfRule type="cellIs" dxfId="2" priority="1" stopIfTrue="1" operator="equal">
      <formula>$E$7</formula>
    </cfRule>
  </conditionalFormatting>
  <conditionalFormatting sqref="G67:G106">
    <cfRule type="cellIs" dxfId="1" priority="2" stopIfTrue="1" operator="equal">
      <formula>$E$62</formula>
    </cfRule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108"/>
  <sheetViews>
    <sheetView zoomScale="115" zoomScaleNormal="115" workbookViewId="0">
      <selection activeCell="J5" sqref="J5:J6"/>
    </sheetView>
  </sheetViews>
  <sheetFormatPr defaultRowHeight="12.75" x14ac:dyDescent="0.2"/>
  <cols>
    <col min="3" max="4" width="9.7109375" customWidth="1"/>
    <col min="5" max="7" width="11.7109375" customWidth="1"/>
  </cols>
  <sheetData>
    <row r="1" spans="1:8" ht="24.75" customHeight="1" thickBot="1" x14ac:dyDescent="0.25">
      <c r="A1" s="8"/>
      <c r="B1" s="9"/>
      <c r="C1" s="9"/>
      <c r="D1" s="9"/>
      <c r="E1" s="9"/>
      <c r="F1" s="9"/>
      <c r="G1" s="9"/>
      <c r="H1" s="8"/>
    </row>
    <row r="2" spans="1:8" ht="15.75" x14ac:dyDescent="0.25">
      <c r="A2" s="8"/>
      <c r="B2" s="179" t="s">
        <v>43</v>
      </c>
      <c r="C2" s="180"/>
      <c r="D2" s="180"/>
      <c r="E2" s="180"/>
      <c r="F2" s="180"/>
      <c r="G2" s="181"/>
      <c r="H2" s="8"/>
    </row>
    <row r="3" spans="1:8" x14ac:dyDescent="0.2">
      <c r="A3" s="8"/>
      <c r="B3" s="10"/>
      <c r="C3" s="2"/>
      <c r="D3" s="2"/>
      <c r="E3" s="2"/>
      <c r="F3" s="2"/>
      <c r="G3" s="11"/>
      <c r="H3" s="8"/>
    </row>
    <row r="4" spans="1:8" x14ac:dyDescent="0.2">
      <c r="A4" s="8"/>
      <c r="B4" s="10"/>
      <c r="C4" s="159" t="s">
        <v>37</v>
      </c>
      <c r="D4" s="160"/>
      <c r="E4" s="26">
        <f>AsphaltBinderBase</f>
        <v>587.75</v>
      </c>
      <c r="F4" s="2"/>
      <c r="G4" s="11"/>
      <c r="H4" s="8"/>
    </row>
    <row r="5" spans="1:8" x14ac:dyDescent="0.2">
      <c r="A5" s="8"/>
      <c r="B5" s="10"/>
      <c r="C5" s="161" t="s">
        <v>38</v>
      </c>
      <c r="D5" s="162"/>
      <c r="E5" s="26">
        <f>AsphaltBinderCurrent</f>
        <v>587.75</v>
      </c>
      <c r="F5" s="2"/>
      <c r="G5" s="11"/>
      <c r="H5" s="8"/>
    </row>
    <row r="6" spans="1:8" x14ac:dyDescent="0.2">
      <c r="A6" s="8"/>
      <c r="B6" s="10"/>
      <c r="C6" s="163" t="s">
        <v>39</v>
      </c>
      <c r="D6" s="164"/>
      <c r="E6" s="27">
        <f>VLOOKUP(E5,E11:G105,3)</f>
        <v>0</v>
      </c>
      <c r="F6" s="2"/>
      <c r="G6" s="11"/>
      <c r="H6" s="8"/>
    </row>
    <row r="7" spans="1:8" x14ac:dyDescent="0.2">
      <c r="A7" s="8"/>
      <c r="B7" s="10"/>
      <c r="C7" s="2"/>
      <c r="D7" s="2"/>
      <c r="E7" s="2"/>
      <c r="F7" s="2"/>
      <c r="G7" s="11"/>
      <c r="H7" s="8"/>
    </row>
    <row r="8" spans="1:8" x14ac:dyDescent="0.2">
      <c r="A8" s="8"/>
      <c r="B8" s="10"/>
      <c r="C8" s="2"/>
      <c r="D8" s="2"/>
      <c r="E8" s="2"/>
      <c r="F8" s="2"/>
      <c r="G8" s="11"/>
      <c r="H8" s="8"/>
    </row>
    <row r="9" spans="1:8" x14ac:dyDescent="0.2">
      <c r="A9" s="8"/>
      <c r="B9" s="10"/>
      <c r="C9" s="2"/>
      <c r="D9" s="2"/>
      <c r="E9" s="2"/>
      <c r="F9" s="2"/>
      <c r="G9" s="11"/>
      <c r="H9" s="8"/>
    </row>
    <row r="10" spans="1:8" x14ac:dyDescent="0.2">
      <c r="A10" s="8"/>
      <c r="B10" s="10"/>
      <c r="C10" s="2"/>
      <c r="D10" s="2"/>
      <c r="E10" s="2"/>
      <c r="F10" s="2"/>
      <c r="G10" s="11"/>
      <c r="H10" s="8"/>
    </row>
    <row r="11" spans="1:8" x14ac:dyDescent="0.2">
      <c r="A11" s="8"/>
      <c r="B11" s="176" t="s">
        <v>40</v>
      </c>
      <c r="C11" s="49">
        <v>95</v>
      </c>
      <c r="D11" s="42">
        <v>100</v>
      </c>
      <c r="E11" s="60">
        <f>0*AsphaltBinderBase</f>
        <v>0</v>
      </c>
      <c r="F11" s="60">
        <f>0.05*AsphaltBinderBase-0.01</f>
        <v>29.377500000000001</v>
      </c>
      <c r="G11" s="62">
        <f>-0.95*AsphaltBinderBase</f>
        <v>-558.36249999999995</v>
      </c>
      <c r="H11" s="8"/>
    </row>
    <row r="12" spans="1:8" x14ac:dyDescent="0.2">
      <c r="A12" s="8"/>
      <c r="B12" s="177"/>
      <c r="C12" s="47">
        <v>90</v>
      </c>
      <c r="D12" s="18">
        <v>95</v>
      </c>
      <c r="E12" s="28">
        <f>0.05*AsphaltBinderBase</f>
        <v>29.387500000000003</v>
      </c>
      <c r="F12" s="28">
        <f>0.1*AsphaltBinderBase-0.01</f>
        <v>58.765000000000008</v>
      </c>
      <c r="G12" s="64">
        <f>-0.9*AsphaltBinderBase</f>
        <v>-528.97500000000002</v>
      </c>
      <c r="H12" s="8"/>
    </row>
    <row r="13" spans="1:8" x14ac:dyDescent="0.2">
      <c r="A13" s="8"/>
      <c r="B13" s="177"/>
      <c r="C13" s="47">
        <v>85</v>
      </c>
      <c r="D13" s="18">
        <v>90</v>
      </c>
      <c r="E13" s="28">
        <f>0.1*AsphaltBinderBase</f>
        <v>58.775000000000006</v>
      </c>
      <c r="F13" s="28">
        <f>0.15*AsphaltBinderBase-0.01</f>
        <v>88.152499999999989</v>
      </c>
      <c r="G13" s="64">
        <f>-0.85*AsphaltBinderBase</f>
        <v>-499.58749999999998</v>
      </c>
      <c r="H13" s="8"/>
    </row>
    <row r="14" spans="1:8" x14ac:dyDescent="0.2">
      <c r="A14" s="8"/>
      <c r="B14" s="177"/>
      <c r="C14" s="47">
        <v>80</v>
      </c>
      <c r="D14" s="18">
        <v>85</v>
      </c>
      <c r="E14" s="28">
        <f>0.15*AsphaltBinderBase</f>
        <v>88.162499999999994</v>
      </c>
      <c r="F14" s="28">
        <f>0.2*AsphaltBinderBase-0.01</f>
        <v>117.54</v>
      </c>
      <c r="G14" s="64">
        <f>-0.8*AsphaltBinderBase</f>
        <v>-470.20000000000005</v>
      </c>
      <c r="H14" s="8"/>
    </row>
    <row r="15" spans="1:8" x14ac:dyDescent="0.2">
      <c r="A15" s="8"/>
      <c r="B15" s="177"/>
      <c r="C15" s="47">
        <v>75</v>
      </c>
      <c r="D15" s="18">
        <v>80</v>
      </c>
      <c r="E15" s="28">
        <f>0.2*AsphaltBinderBase</f>
        <v>117.55000000000001</v>
      </c>
      <c r="F15" s="28">
        <f>0.25*AsphaltBinderBase-0.01</f>
        <v>146.92750000000001</v>
      </c>
      <c r="G15" s="64">
        <f>-0.75*AsphaltBinderBase</f>
        <v>-440.8125</v>
      </c>
      <c r="H15" s="8"/>
    </row>
    <row r="16" spans="1:8" x14ac:dyDescent="0.2">
      <c r="A16" s="8"/>
      <c r="B16" s="177"/>
      <c r="C16" s="47">
        <v>70</v>
      </c>
      <c r="D16" s="18">
        <v>75</v>
      </c>
      <c r="E16" s="28">
        <f>0.25*AsphaltBinderBase</f>
        <v>146.9375</v>
      </c>
      <c r="F16" s="28">
        <f>0.3*AsphaltBinderBase-0.01</f>
        <v>176.315</v>
      </c>
      <c r="G16" s="64">
        <f>-0.7*AsphaltBinderBase</f>
        <v>-411.42499999999995</v>
      </c>
      <c r="H16" s="8"/>
    </row>
    <row r="17" spans="1:8" x14ac:dyDescent="0.2">
      <c r="A17" s="8"/>
      <c r="B17" s="177"/>
      <c r="C17" s="47">
        <v>65</v>
      </c>
      <c r="D17" s="18">
        <v>70</v>
      </c>
      <c r="E17" s="28">
        <f>0.3*AsphaltBinderBase</f>
        <v>176.32499999999999</v>
      </c>
      <c r="F17" s="28">
        <f>0.35*AsphaltBinderBase-0.01</f>
        <v>205.70249999999999</v>
      </c>
      <c r="G17" s="64">
        <f>-0.65*AsphaltBinderBase</f>
        <v>-382.03750000000002</v>
      </c>
      <c r="H17" s="8"/>
    </row>
    <row r="18" spans="1:8" x14ac:dyDescent="0.2">
      <c r="A18" s="8"/>
      <c r="B18" s="177"/>
      <c r="C18" s="47">
        <v>60</v>
      </c>
      <c r="D18" s="18">
        <v>65</v>
      </c>
      <c r="E18" s="28">
        <f>0.35*AsphaltBinderBase</f>
        <v>205.71249999999998</v>
      </c>
      <c r="F18" s="28">
        <f>0.4*AsphaltBinderBase-0.01</f>
        <v>235.09000000000003</v>
      </c>
      <c r="G18" s="64">
        <f>-0.6*AsphaltBinderBase</f>
        <v>-352.65</v>
      </c>
      <c r="H18" s="8"/>
    </row>
    <row r="19" spans="1:8" x14ac:dyDescent="0.2">
      <c r="A19" s="8"/>
      <c r="B19" s="177"/>
      <c r="C19" s="47">
        <v>55</v>
      </c>
      <c r="D19" s="18">
        <v>60</v>
      </c>
      <c r="E19" s="28">
        <f>0.4*AsphaltBinderBase</f>
        <v>235.10000000000002</v>
      </c>
      <c r="F19" s="28">
        <f>0.45*AsphaltBinderBase-0.01</f>
        <v>264.47750000000002</v>
      </c>
      <c r="G19" s="64">
        <f>-0.55*AsphaltBinderBase</f>
        <v>-323.26250000000005</v>
      </c>
      <c r="H19" s="8"/>
    </row>
    <row r="20" spans="1:8" x14ac:dyDescent="0.2">
      <c r="A20" s="8"/>
      <c r="B20" s="177"/>
      <c r="C20" s="47">
        <v>50</v>
      </c>
      <c r="D20" s="18">
        <v>55</v>
      </c>
      <c r="E20" s="28">
        <f>0.45*AsphaltBinderBase</f>
        <v>264.48750000000001</v>
      </c>
      <c r="F20" s="28">
        <f>0.5*AsphaltBinderBase-0.01</f>
        <v>293.86500000000001</v>
      </c>
      <c r="G20" s="64">
        <f>-0.5*AsphaltBinderBase</f>
        <v>-293.875</v>
      </c>
      <c r="H20" s="8"/>
    </row>
    <row r="21" spans="1:8" x14ac:dyDescent="0.2">
      <c r="A21" s="8"/>
      <c r="B21" s="177"/>
      <c r="C21" s="47">
        <v>45</v>
      </c>
      <c r="D21" s="18">
        <v>50</v>
      </c>
      <c r="E21" s="28">
        <f>0.5*AsphaltBinderBase</f>
        <v>293.875</v>
      </c>
      <c r="F21" s="28">
        <f>0.55*AsphaltBinderBase-0.01</f>
        <v>323.25250000000005</v>
      </c>
      <c r="G21" s="64">
        <f>-0.45*AsphaltBinderBase</f>
        <v>-264.48750000000001</v>
      </c>
      <c r="H21" s="8"/>
    </row>
    <row r="22" spans="1:8" x14ac:dyDescent="0.2">
      <c r="A22" s="8"/>
      <c r="B22" s="177"/>
      <c r="C22" s="47">
        <v>40</v>
      </c>
      <c r="D22" s="18">
        <v>45</v>
      </c>
      <c r="E22" s="28">
        <f>0.55*AsphaltBinderBase</f>
        <v>323.26250000000005</v>
      </c>
      <c r="F22" s="28">
        <f>0.6*AsphaltBinderBase-0.01</f>
        <v>352.64</v>
      </c>
      <c r="G22" s="64">
        <f>-0.4*AsphaltBinderBase</f>
        <v>-235.10000000000002</v>
      </c>
      <c r="H22" s="8"/>
    </row>
    <row r="23" spans="1:8" x14ac:dyDescent="0.2">
      <c r="A23" s="8"/>
      <c r="B23" s="177"/>
      <c r="C23" s="47">
        <v>35</v>
      </c>
      <c r="D23" s="18">
        <v>40</v>
      </c>
      <c r="E23" s="28">
        <f>0.6*AsphaltBinderBase</f>
        <v>352.65</v>
      </c>
      <c r="F23" s="28">
        <f>0.65*AsphaltBinderBase-0.01</f>
        <v>382.02750000000003</v>
      </c>
      <c r="G23" s="64">
        <f>-0.35*AsphaltBinderBase</f>
        <v>-205.71249999999998</v>
      </c>
      <c r="H23" s="8"/>
    </row>
    <row r="24" spans="1:8" x14ac:dyDescent="0.2">
      <c r="A24" s="8"/>
      <c r="B24" s="177"/>
      <c r="C24" s="47">
        <v>30</v>
      </c>
      <c r="D24" s="18">
        <v>35</v>
      </c>
      <c r="E24" s="28">
        <f>0.65*AsphaltBinderBase</f>
        <v>382.03750000000002</v>
      </c>
      <c r="F24" s="28">
        <f>0.7*AsphaltBinderBase-0.01</f>
        <v>411.41499999999996</v>
      </c>
      <c r="G24" s="64">
        <f>-0.3*AsphaltBinderBase</f>
        <v>-176.32499999999999</v>
      </c>
      <c r="H24" s="8"/>
    </row>
    <row r="25" spans="1:8" x14ac:dyDescent="0.2">
      <c r="A25" s="8"/>
      <c r="B25" s="177"/>
      <c r="C25" s="47">
        <v>25</v>
      </c>
      <c r="D25" s="18">
        <v>30</v>
      </c>
      <c r="E25" s="28">
        <f>0.7*AsphaltBinderBase</f>
        <v>411.42499999999995</v>
      </c>
      <c r="F25" s="28">
        <f>0.75*AsphaltBinderBase-0.01</f>
        <v>440.80250000000001</v>
      </c>
      <c r="G25" s="64">
        <f>-0.25*AsphaltBinderBase</f>
        <v>-146.9375</v>
      </c>
      <c r="H25" s="8"/>
    </row>
    <row r="26" spans="1:8" x14ac:dyDescent="0.2">
      <c r="A26" s="8"/>
      <c r="B26" s="177"/>
      <c r="C26" s="47">
        <v>20</v>
      </c>
      <c r="D26" s="18">
        <v>25</v>
      </c>
      <c r="E26" s="28">
        <f>0.75*AsphaltBinderBase</f>
        <v>440.8125</v>
      </c>
      <c r="F26" s="28">
        <f>0.8*AsphaltBinderBase-0.01</f>
        <v>470.19000000000005</v>
      </c>
      <c r="G26" s="64">
        <f>-0.2*AsphaltBinderBase</f>
        <v>-117.55000000000001</v>
      </c>
      <c r="H26" s="8"/>
    </row>
    <row r="27" spans="1:8" x14ac:dyDescent="0.2">
      <c r="A27" s="8"/>
      <c r="B27" s="177"/>
      <c r="C27" s="47">
        <v>15</v>
      </c>
      <c r="D27" s="18">
        <v>20</v>
      </c>
      <c r="E27" s="28">
        <f>0.8*AsphaltBinderBase</f>
        <v>470.20000000000005</v>
      </c>
      <c r="F27" s="28">
        <f>0.85*AsphaltBinderBase-0.01</f>
        <v>499.57749999999999</v>
      </c>
      <c r="G27" s="64">
        <f>-0.15*AsphaltBinderBase</f>
        <v>-88.162499999999994</v>
      </c>
      <c r="H27" s="8"/>
    </row>
    <row r="28" spans="1:8" x14ac:dyDescent="0.2">
      <c r="A28" s="8"/>
      <c r="B28" s="177"/>
      <c r="C28" s="47">
        <v>10</v>
      </c>
      <c r="D28" s="18">
        <v>15</v>
      </c>
      <c r="E28" s="28">
        <f>0.85*AsphaltBinderBase</f>
        <v>499.58749999999998</v>
      </c>
      <c r="F28" s="28">
        <f>0.9*AsphaltBinderBase-0.01</f>
        <v>528.96500000000003</v>
      </c>
      <c r="G28" s="64">
        <f>-0.1*AsphaltBinderBase</f>
        <v>-58.775000000000006</v>
      </c>
      <c r="H28" s="8"/>
    </row>
    <row r="29" spans="1:8" x14ac:dyDescent="0.2">
      <c r="A29" s="8"/>
      <c r="B29" s="177"/>
      <c r="C29" s="47">
        <v>5</v>
      </c>
      <c r="D29" s="18">
        <v>10</v>
      </c>
      <c r="E29" s="28">
        <f>0.9*AsphaltBinderBase</f>
        <v>528.97500000000002</v>
      </c>
      <c r="F29" s="28">
        <f>0.95*AsphaltBinderBase-0.01</f>
        <v>558.35249999999996</v>
      </c>
      <c r="G29" s="64">
        <f>-0.05*AsphaltBinderBase</f>
        <v>-29.387500000000003</v>
      </c>
      <c r="H29" s="8"/>
    </row>
    <row r="30" spans="1:8" x14ac:dyDescent="0.2">
      <c r="A30" s="8"/>
      <c r="B30" s="178"/>
      <c r="C30" s="54">
        <v>0</v>
      </c>
      <c r="D30" s="53">
        <v>5</v>
      </c>
      <c r="E30" s="56">
        <f>0.95*AsphaltBinderBase</f>
        <v>558.36249999999995</v>
      </c>
      <c r="F30" s="56">
        <f>1*AsphaltBinderBase-0.01</f>
        <v>587.74</v>
      </c>
      <c r="G30" s="66">
        <f>0*AsphaltBinderBase</f>
        <v>0</v>
      </c>
      <c r="H30" s="8"/>
    </row>
    <row r="31" spans="1:8" x14ac:dyDescent="0.2">
      <c r="A31" s="8"/>
      <c r="B31" s="172" t="s">
        <v>41</v>
      </c>
      <c r="C31" s="59">
        <v>0</v>
      </c>
      <c r="D31" s="42">
        <v>5</v>
      </c>
      <c r="E31" s="60">
        <f>1*AsphaltBinderBase</f>
        <v>587.75</v>
      </c>
      <c r="F31" s="60">
        <f>1.05*AsphaltBinderBase</f>
        <v>617.13750000000005</v>
      </c>
      <c r="G31" s="62">
        <f>0*AsphaltBinderBase</f>
        <v>0</v>
      </c>
      <c r="H31" s="8"/>
    </row>
    <row r="32" spans="1:8" x14ac:dyDescent="0.2">
      <c r="A32" s="8"/>
      <c r="B32" s="173"/>
      <c r="C32" s="61">
        <v>5</v>
      </c>
      <c r="D32" s="18">
        <v>10</v>
      </c>
      <c r="E32" s="28">
        <f>1.05*AsphaltBinderBase+0.01</f>
        <v>617.14750000000004</v>
      </c>
      <c r="F32" s="28">
        <f>1.1*AsphaltBinderBase</f>
        <v>646.52500000000009</v>
      </c>
      <c r="G32" s="63">
        <f>0.05*AsphaltBinderBase</f>
        <v>29.387500000000003</v>
      </c>
      <c r="H32" s="8"/>
    </row>
    <row r="33" spans="1:8" x14ac:dyDescent="0.2">
      <c r="A33" s="8"/>
      <c r="B33" s="173"/>
      <c r="C33" s="61">
        <v>10</v>
      </c>
      <c r="D33" s="18">
        <v>15</v>
      </c>
      <c r="E33" s="28">
        <f>1.1*AsphaltBinderBase+0.01</f>
        <v>646.53500000000008</v>
      </c>
      <c r="F33" s="28">
        <f>1.15*AsphaltBinderBase</f>
        <v>675.91249999999991</v>
      </c>
      <c r="G33" s="64">
        <f>0.1*AsphaltBinderBase</f>
        <v>58.775000000000006</v>
      </c>
      <c r="H33" s="8"/>
    </row>
    <row r="34" spans="1:8" x14ac:dyDescent="0.2">
      <c r="A34" s="8"/>
      <c r="B34" s="173"/>
      <c r="C34" s="61">
        <v>15</v>
      </c>
      <c r="D34" s="18">
        <v>20</v>
      </c>
      <c r="E34" s="28">
        <f>1.15*AsphaltBinderBase+0.01</f>
        <v>675.9224999999999</v>
      </c>
      <c r="F34" s="28">
        <f>1.2*AsphaltBinderBase</f>
        <v>705.3</v>
      </c>
      <c r="G34" s="63">
        <f>0.15*AsphaltBinderBase</f>
        <v>88.162499999999994</v>
      </c>
      <c r="H34" s="8"/>
    </row>
    <row r="35" spans="1:8" x14ac:dyDescent="0.2">
      <c r="A35" s="8"/>
      <c r="B35" s="173"/>
      <c r="C35" s="61">
        <v>20</v>
      </c>
      <c r="D35" s="18">
        <v>25</v>
      </c>
      <c r="E35" s="28">
        <f>1.2*AsphaltBinderBase+0.01</f>
        <v>705.31</v>
      </c>
      <c r="F35" s="28">
        <f>1.25*AsphaltBinderBase</f>
        <v>734.6875</v>
      </c>
      <c r="G35" s="64">
        <f>0.2*AsphaltBinderBase</f>
        <v>117.55000000000001</v>
      </c>
      <c r="H35" s="8"/>
    </row>
    <row r="36" spans="1:8" x14ac:dyDescent="0.2">
      <c r="A36" s="8"/>
      <c r="B36" s="173"/>
      <c r="C36" s="61">
        <v>25</v>
      </c>
      <c r="D36" s="18">
        <v>30</v>
      </c>
      <c r="E36" s="28">
        <f>1.25*AsphaltBinderBase+0.01</f>
        <v>734.69749999999999</v>
      </c>
      <c r="F36" s="28">
        <f>1.3*AsphaltBinderBase</f>
        <v>764.07500000000005</v>
      </c>
      <c r="G36" s="63">
        <f>0.25*AsphaltBinderBase</f>
        <v>146.9375</v>
      </c>
      <c r="H36" s="8"/>
    </row>
    <row r="37" spans="1:8" x14ac:dyDescent="0.2">
      <c r="A37" s="8"/>
      <c r="B37" s="173"/>
      <c r="C37" s="61">
        <v>30</v>
      </c>
      <c r="D37" s="18">
        <v>35</v>
      </c>
      <c r="E37" s="28">
        <f>1.3*AsphaltBinderBase+0.01</f>
        <v>764.08500000000004</v>
      </c>
      <c r="F37" s="28">
        <f>1.35*AsphaltBinderBase</f>
        <v>793.46250000000009</v>
      </c>
      <c r="G37" s="64">
        <f>0.3*AsphaltBinderBase</f>
        <v>176.32499999999999</v>
      </c>
      <c r="H37" s="8"/>
    </row>
    <row r="38" spans="1:8" x14ac:dyDescent="0.2">
      <c r="A38" s="8"/>
      <c r="B38" s="173"/>
      <c r="C38" s="61">
        <v>35</v>
      </c>
      <c r="D38" s="18">
        <v>40</v>
      </c>
      <c r="E38" s="28">
        <f>1.35*AsphaltBinderBase+0.01</f>
        <v>793.47250000000008</v>
      </c>
      <c r="F38" s="28">
        <f>1.4*AsphaltBinderBase</f>
        <v>822.84999999999991</v>
      </c>
      <c r="G38" s="63">
        <f>0.35*AsphaltBinderBase</f>
        <v>205.71249999999998</v>
      </c>
      <c r="H38" s="8"/>
    </row>
    <row r="39" spans="1:8" x14ac:dyDescent="0.2">
      <c r="A39" s="8"/>
      <c r="B39" s="173"/>
      <c r="C39" s="61">
        <v>40</v>
      </c>
      <c r="D39" s="18">
        <v>45</v>
      </c>
      <c r="E39" s="28">
        <f>1.4*AsphaltBinderBase+0.01</f>
        <v>822.8599999999999</v>
      </c>
      <c r="F39" s="28">
        <f>1.45*AsphaltBinderBase</f>
        <v>852.23749999999995</v>
      </c>
      <c r="G39" s="64">
        <f>0.4*AsphaltBinderBase</f>
        <v>235.10000000000002</v>
      </c>
      <c r="H39" s="8"/>
    </row>
    <row r="40" spans="1:8" x14ac:dyDescent="0.2">
      <c r="A40" s="8"/>
      <c r="B40" s="173"/>
      <c r="C40" s="61">
        <v>45</v>
      </c>
      <c r="D40" s="18">
        <v>50</v>
      </c>
      <c r="E40" s="28">
        <f>1.45*AsphaltBinderBase+0.01</f>
        <v>852.24749999999995</v>
      </c>
      <c r="F40" s="28">
        <f>1.5*AsphaltBinderBase</f>
        <v>881.625</v>
      </c>
      <c r="G40" s="63">
        <f>0.45*AsphaltBinderBase</f>
        <v>264.48750000000001</v>
      </c>
      <c r="H40" s="8"/>
    </row>
    <row r="41" spans="1:8" x14ac:dyDescent="0.2">
      <c r="A41" s="8"/>
      <c r="B41" s="173"/>
      <c r="C41" s="61">
        <v>50</v>
      </c>
      <c r="D41" s="18">
        <v>55</v>
      </c>
      <c r="E41" s="28">
        <f>1.5*AsphaltBinderBase+0.01</f>
        <v>881.63499999999999</v>
      </c>
      <c r="F41" s="28">
        <f>1.55*AsphaltBinderBase</f>
        <v>911.01250000000005</v>
      </c>
      <c r="G41" s="64">
        <f>0.5*AsphaltBinderBase</f>
        <v>293.875</v>
      </c>
      <c r="H41" s="8"/>
    </row>
    <row r="42" spans="1:8" x14ac:dyDescent="0.2">
      <c r="A42" s="8"/>
      <c r="B42" s="173"/>
      <c r="C42" s="61">
        <v>55</v>
      </c>
      <c r="D42" s="18">
        <v>60</v>
      </c>
      <c r="E42" s="28">
        <f>1.55*AsphaltBinderBase+0.01</f>
        <v>911.02250000000004</v>
      </c>
      <c r="F42" s="28">
        <f>1.6*AsphaltBinderBase</f>
        <v>940.40000000000009</v>
      </c>
      <c r="G42" s="63">
        <f>0.55*AsphaltBinderBase</f>
        <v>323.26250000000005</v>
      </c>
      <c r="H42" s="8"/>
    </row>
    <row r="43" spans="1:8" x14ac:dyDescent="0.2">
      <c r="A43" s="8"/>
      <c r="B43" s="173"/>
      <c r="C43" s="61">
        <v>60</v>
      </c>
      <c r="D43" s="18">
        <v>65</v>
      </c>
      <c r="E43" s="28">
        <f>1.6*AsphaltBinderBase+0.01</f>
        <v>940.41000000000008</v>
      </c>
      <c r="F43" s="28">
        <f>1.65*AsphaltBinderBase</f>
        <v>969.78749999999991</v>
      </c>
      <c r="G43" s="64">
        <f>0.6*AsphaltBinderBase</f>
        <v>352.65</v>
      </c>
      <c r="H43" s="8"/>
    </row>
    <row r="44" spans="1:8" x14ac:dyDescent="0.2">
      <c r="A44" s="8"/>
      <c r="B44" s="173"/>
      <c r="C44" s="61">
        <v>65</v>
      </c>
      <c r="D44" s="18">
        <v>70</v>
      </c>
      <c r="E44" s="28">
        <f>1.65*AsphaltBinderBase+0.01</f>
        <v>969.7974999999999</v>
      </c>
      <c r="F44" s="28">
        <f>1.7*AsphaltBinderBase</f>
        <v>999.17499999999995</v>
      </c>
      <c r="G44" s="63">
        <f>0.65*AsphaltBinderBase</f>
        <v>382.03750000000002</v>
      </c>
      <c r="H44" s="8"/>
    </row>
    <row r="45" spans="1:8" x14ac:dyDescent="0.2">
      <c r="A45" s="8"/>
      <c r="B45" s="173"/>
      <c r="C45" s="61">
        <v>70</v>
      </c>
      <c r="D45" s="18">
        <v>75</v>
      </c>
      <c r="E45" s="28">
        <f>1.7*AsphaltBinderBase+0.01</f>
        <v>999.18499999999995</v>
      </c>
      <c r="F45" s="28">
        <f>1.75*AsphaltBinderBase</f>
        <v>1028.5625</v>
      </c>
      <c r="G45" s="64">
        <f>0.7*AsphaltBinderBase</f>
        <v>411.42499999999995</v>
      </c>
      <c r="H45" s="8"/>
    </row>
    <row r="46" spans="1:8" x14ac:dyDescent="0.2">
      <c r="A46" s="8"/>
      <c r="B46" s="173"/>
      <c r="C46" s="61">
        <v>75</v>
      </c>
      <c r="D46" s="18">
        <v>80</v>
      </c>
      <c r="E46" s="28">
        <f>1.75*AsphaltBinderBase+0.01</f>
        <v>1028.5725</v>
      </c>
      <c r="F46" s="28">
        <f>1.8*AsphaltBinderBase</f>
        <v>1057.95</v>
      </c>
      <c r="G46" s="63">
        <f>0.75*AsphaltBinderBase</f>
        <v>440.8125</v>
      </c>
      <c r="H46" s="8"/>
    </row>
    <row r="47" spans="1:8" x14ac:dyDescent="0.2">
      <c r="A47" s="8"/>
      <c r="B47" s="173"/>
      <c r="C47" s="61">
        <v>80</v>
      </c>
      <c r="D47" s="18">
        <v>85</v>
      </c>
      <c r="E47" s="28">
        <f>1.8*AsphaltBinderBase+0.01</f>
        <v>1057.96</v>
      </c>
      <c r="F47" s="28">
        <f>1.85*AsphaltBinderBase</f>
        <v>1087.3375000000001</v>
      </c>
      <c r="G47" s="64">
        <f>0.8*AsphaltBinderBase</f>
        <v>470.20000000000005</v>
      </c>
      <c r="H47" s="8"/>
    </row>
    <row r="48" spans="1:8" x14ac:dyDescent="0.2">
      <c r="A48" s="8"/>
      <c r="B48" s="173"/>
      <c r="C48" s="61">
        <v>85</v>
      </c>
      <c r="D48" s="18">
        <v>90</v>
      </c>
      <c r="E48" s="28">
        <f>1.85*AsphaltBinderBase+0.01</f>
        <v>1087.3475000000001</v>
      </c>
      <c r="F48" s="28">
        <f>1.9*AsphaltBinderBase</f>
        <v>1116.7249999999999</v>
      </c>
      <c r="G48" s="63">
        <f>0.85*AsphaltBinderBase</f>
        <v>499.58749999999998</v>
      </c>
      <c r="H48" s="8"/>
    </row>
    <row r="49" spans="1:8" x14ac:dyDescent="0.2">
      <c r="A49" s="8"/>
      <c r="B49" s="173"/>
      <c r="C49" s="61">
        <v>90</v>
      </c>
      <c r="D49" s="18">
        <v>95</v>
      </c>
      <c r="E49" s="28">
        <f>1.9*AsphaltBinderBase+0.01</f>
        <v>1116.7349999999999</v>
      </c>
      <c r="F49" s="28">
        <f>1.95*AsphaltBinderBase</f>
        <v>1146.1125</v>
      </c>
      <c r="G49" s="64">
        <f>0.9*AsphaltBinderBase</f>
        <v>528.97500000000002</v>
      </c>
      <c r="H49" s="8"/>
    </row>
    <row r="50" spans="1:8" x14ac:dyDescent="0.2">
      <c r="A50" s="8"/>
      <c r="B50" s="173"/>
      <c r="C50" s="61">
        <v>95</v>
      </c>
      <c r="D50" s="18">
        <v>100</v>
      </c>
      <c r="E50" s="28">
        <f>1.95*AsphaltBinderBase+0.01</f>
        <v>1146.1224999999999</v>
      </c>
      <c r="F50" s="28">
        <f>2*AsphaltBinderBase</f>
        <v>1175.5</v>
      </c>
      <c r="G50" s="63">
        <f>0.95*AsphaltBinderBase</f>
        <v>558.36249999999995</v>
      </c>
      <c r="H50" s="8"/>
    </row>
    <row r="51" spans="1:8" x14ac:dyDescent="0.2">
      <c r="A51" s="8"/>
      <c r="B51" s="173"/>
      <c r="C51" s="61">
        <v>100</v>
      </c>
      <c r="D51" s="18">
        <v>105</v>
      </c>
      <c r="E51" s="28">
        <f>2*AsphaltBinderBase+0.01</f>
        <v>1175.51</v>
      </c>
      <c r="F51" s="28">
        <f>2.05*AsphaltBinderBase</f>
        <v>1204.8874999999998</v>
      </c>
      <c r="G51" s="64">
        <f>1*AsphaltBinderBase</f>
        <v>587.75</v>
      </c>
      <c r="H51" s="8"/>
    </row>
    <row r="52" spans="1:8" x14ac:dyDescent="0.2">
      <c r="A52" s="8"/>
      <c r="B52" s="173"/>
      <c r="C52" s="61">
        <v>105</v>
      </c>
      <c r="D52" s="18">
        <v>110</v>
      </c>
      <c r="E52" s="28">
        <f>2.05*AsphaltBinderBase+0.01</f>
        <v>1204.8974999999998</v>
      </c>
      <c r="F52" s="28">
        <f>2.1*AsphaltBinderBase</f>
        <v>1234.2750000000001</v>
      </c>
      <c r="G52" s="63">
        <f>1.05*AsphaltBinderBase</f>
        <v>617.13750000000005</v>
      </c>
      <c r="H52" s="8"/>
    </row>
    <row r="53" spans="1:8" x14ac:dyDescent="0.2">
      <c r="A53" s="8"/>
      <c r="B53" s="173"/>
      <c r="C53" s="61">
        <v>110</v>
      </c>
      <c r="D53" s="18">
        <v>115</v>
      </c>
      <c r="E53" s="28">
        <f>2.1*AsphaltBinderBase+0.01</f>
        <v>1234.2850000000001</v>
      </c>
      <c r="F53" s="28">
        <f>2.15*AsphaltBinderBase</f>
        <v>1263.6624999999999</v>
      </c>
      <c r="G53" s="64">
        <f>1.1*AsphaltBinderBase</f>
        <v>646.52500000000009</v>
      </c>
      <c r="H53" s="8"/>
    </row>
    <row r="54" spans="1:8" x14ac:dyDescent="0.2">
      <c r="A54" s="8"/>
      <c r="B54" s="173"/>
      <c r="C54" s="61">
        <v>115</v>
      </c>
      <c r="D54" s="18">
        <v>120</v>
      </c>
      <c r="E54" s="28">
        <f>2.15*AsphaltBinderBase+0.01</f>
        <v>1263.6724999999999</v>
      </c>
      <c r="F54" s="28">
        <f>2.2*AsphaltBinderBase</f>
        <v>1293.0500000000002</v>
      </c>
      <c r="G54" s="63">
        <f>1.15*AsphaltBinderBase</f>
        <v>675.91249999999991</v>
      </c>
      <c r="H54" s="8"/>
    </row>
    <row r="55" spans="1:8" x14ac:dyDescent="0.2">
      <c r="A55" s="8"/>
      <c r="B55" s="173"/>
      <c r="C55" s="61">
        <v>120</v>
      </c>
      <c r="D55" s="18">
        <v>125</v>
      </c>
      <c r="E55" s="28">
        <f>2.2*AsphaltBinderBase+0.01</f>
        <v>1293.0600000000002</v>
      </c>
      <c r="F55" s="28">
        <f>2.25*AsphaltBinderBase</f>
        <v>1322.4375</v>
      </c>
      <c r="G55" s="64">
        <f>1.2*AsphaltBinderBase</f>
        <v>705.3</v>
      </c>
      <c r="H55" s="8"/>
    </row>
    <row r="56" spans="1:8" x14ac:dyDescent="0.2">
      <c r="A56" s="8"/>
      <c r="B56" s="173"/>
      <c r="C56" s="61">
        <v>125</v>
      </c>
      <c r="D56" s="18">
        <v>130</v>
      </c>
      <c r="E56" s="28">
        <f>2.25*AsphaltBinderBase+0.01</f>
        <v>1322.4475</v>
      </c>
      <c r="F56" s="28">
        <f>2.3*AsphaltBinderBase</f>
        <v>1351.8249999999998</v>
      </c>
      <c r="G56" s="63">
        <f>1.25*AsphaltBinderBase</f>
        <v>734.6875</v>
      </c>
      <c r="H56" s="8"/>
    </row>
    <row r="57" spans="1:8" x14ac:dyDescent="0.2">
      <c r="A57" s="8"/>
      <c r="B57" s="173"/>
      <c r="C57" s="61">
        <v>130</v>
      </c>
      <c r="D57" s="18">
        <v>135</v>
      </c>
      <c r="E57" s="28">
        <f>2.3*AsphaltBinderBase+0.01</f>
        <v>1351.8349999999998</v>
      </c>
      <c r="F57" s="28">
        <f>2.35*AsphaltBinderBase</f>
        <v>1381.2125000000001</v>
      </c>
      <c r="G57" s="64">
        <f>1.3*AsphaltBinderBase</f>
        <v>764.07500000000005</v>
      </c>
      <c r="H57" s="8"/>
    </row>
    <row r="58" spans="1:8" x14ac:dyDescent="0.2">
      <c r="A58" s="8"/>
      <c r="B58" s="173"/>
      <c r="C58" s="61">
        <v>135</v>
      </c>
      <c r="D58" s="18">
        <v>140</v>
      </c>
      <c r="E58" s="28">
        <f>2.35*AsphaltBinderBase+0.01</f>
        <v>1381.2225000000001</v>
      </c>
      <c r="F58" s="28">
        <f>2.4*AsphaltBinderBase</f>
        <v>1410.6</v>
      </c>
      <c r="G58" s="63">
        <f>1.35*AsphaltBinderBase</f>
        <v>793.46250000000009</v>
      </c>
      <c r="H58" s="8"/>
    </row>
    <row r="59" spans="1:8" x14ac:dyDescent="0.2">
      <c r="A59" s="8"/>
      <c r="B59" s="173"/>
      <c r="C59" s="61">
        <v>140</v>
      </c>
      <c r="D59" s="18">
        <v>145</v>
      </c>
      <c r="E59" s="28">
        <f>2.4*AsphaltBinderBase+0.01</f>
        <v>1410.61</v>
      </c>
      <c r="F59" s="28">
        <f>2.45*AsphaltBinderBase</f>
        <v>1439.9875000000002</v>
      </c>
      <c r="G59" s="64">
        <f>1.4*AsphaltBinderBase</f>
        <v>822.84999999999991</v>
      </c>
      <c r="H59" s="8"/>
    </row>
    <row r="60" spans="1:8" x14ac:dyDescent="0.2">
      <c r="A60" s="8"/>
      <c r="B60" s="173"/>
      <c r="C60" s="61">
        <v>145</v>
      </c>
      <c r="D60" s="18">
        <v>150</v>
      </c>
      <c r="E60" s="28">
        <f>2.45*AsphaltBinderBase+0.01</f>
        <v>1439.9975000000002</v>
      </c>
      <c r="F60" s="28">
        <f>2.5*AsphaltBinderBase</f>
        <v>1469.375</v>
      </c>
      <c r="G60" s="63">
        <f>1.45*AsphaltBinderBase</f>
        <v>852.23749999999995</v>
      </c>
      <c r="H60" s="8"/>
    </row>
    <row r="61" spans="1:8" x14ac:dyDescent="0.2">
      <c r="A61" s="8"/>
      <c r="B61" s="173"/>
      <c r="C61" s="61">
        <v>150</v>
      </c>
      <c r="D61" s="18">
        <v>155</v>
      </c>
      <c r="E61" s="28">
        <f>2.5*AsphaltBinderBase+0.01</f>
        <v>1469.385</v>
      </c>
      <c r="F61" s="28">
        <f>2.55*AsphaltBinderBase</f>
        <v>1498.7624999999998</v>
      </c>
      <c r="G61" s="64">
        <f>1.5*AsphaltBinderBase</f>
        <v>881.625</v>
      </c>
      <c r="H61" s="8"/>
    </row>
    <row r="62" spans="1:8" x14ac:dyDescent="0.2">
      <c r="A62" s="8"/>
      <c r="B62" s="173"/>
      <c r="C62" s="61">
        <v>155</v>
      </c>
      <c r="D62" s="18">
        <v>160</v>
      </c>
      <c r="E62" s="28">
        <f>2.55*AsphaltBinderBase+0.01</f>
        <v>1498.7724999999998</v>
      </c>
      <c r="F62" s="28">
        <f>2.6*AsphaltBinderBase</f>
        <v>1528.15</v>
      </c>
      <c r="G62" s="63">
        <f>1.55*AsphaltBinderBase</f>
        <v>911.01250000000005</v>
      </c>
      <c r="H62" s="8"/>
    </row>
    <row r="63" spans="1:8" x14ac:dyDescent="0.2">
      <c r="A63" s="8"/>
      <c r="B63" s="173"/>
      <c r="C63" s="61">
        <v>160</v>
      </c>
      <c r="D63" s="18">
        <v>165</v>
      </c>
      <c r="E63" s="28">
        <f>2.6*AsphaltBinderBase+0.01</f>
        <v>1528.16</v>
      </c>
      <c r="F63" s="28">
        <f>2.65*AsphaltBinderBase</f>
        <v>1557.5374999999999</v>
      </c>
      <c r="G63" s="64">
        <f>1.6*AsphaltBinderBase</f>
        <v>940.40000000000009</v>
      </c>
      <c r="H63" s="8"/>
    </row>
    <row r="64" spans="1:8" x14ac:dyDescent="0.2">
      <c r="A64" s="8"/>
      <c r="B64" s="173"/>
      <c r="C64" s="61">
        <v>165</v>
      </c>
      <c r="D64" s="18">
        <v>170</v>
      </c>
      <c r="E64" s="28">
        <f>2.65*AsphaltBinderBase+0.01</f>
        <v>1557.5474999999999</v>
      </c>
      <c r="F64" s="28">
        <f>2.7*AsphaltBinderBase</f>
        <v>1586.9250000000002</v>
      </c>
      <c r="G64" s="63">
        <f>1.65*AsphaltBinderBase</f>
        <v>969.78749999999991</v>
      </c>
      <c r="H64" s="8"/>
    </row>
    <row r="65" spans="1:8" x14ac:dyDescent="0.2">
      <c r="A65" s="8"/>
      <c r="B65" s="173"/>
      <c r="C65" s="61">
        <v>170</v>
      </c>
      <c r="D65" s="18">
        <v>175</v>
      </c>
      <c r="E65" s="28">
        <f>2.7*AsphaltBinderBase+0.01</f>
        <v>1586.9350000000002</v>
      </c>
      <c r="F65" s="28">
        <f>2.75*AsphaltBinderBase</f>
        <v>1616.3125</v>
      </c>
      <c r="G65" s="64">
        <f>1.7*AsphaltBinderBase</f>
        <v>999.17499999999995</v>
      </c>
      <c r="H65" s="8"/>
    </row>
    <row r="66" spans="1:8" x14ac:dyDescent="0.2">
      <c r="A66" s="8"/>
      <c r="B66" s="173"/>
      <c r="C66" s="61">
        <v>175</v>
      </c>
      <c r="D66" s="18">
        <v>180</v>
      </c>
      <c r="E66" s="28">
        <f>2.75*AsphaltBinderBase+0.01</f>
        <v>1616.3225</v>
      </c>
      <c r="F66" s="28">
        <f>2.8*AsphaltBinderBase</f>
        <v>1645.6999999999998</v>
      </c>
      <c r="G66" s="63">
        <f>1.75*AsphaltBinderBase</f>
        <v>1028.5625</v>
      </c>
      <c r="H66" s="8"/>
    </row>
    <row r="67" spans="1:8" x14ac:dyDescent="0.2">
      <c r="A67" s="8"/>
      <c r="B67" s="173"/>
      <c r="C67" s="61">
        <v>180</v>
      </c>
      <c r="D67" s="18">
        <v>185</v>
      </c>
      <c r="E67" s="28">
        <f>2.8*AsphaltBinderBase+0.01</f>
        <v>1645.7099999999998</v>
      </c>
      <c r="F67" s="28">
        <f>2.85*AsphaltBinderBase</f>
        <v>1675.0875000000001</v>
      </c>
      <c r="G67" s="64">
        <f>1.8*AsphaltBinderBase</f>
        <v>1057.95</v>
      </c>
      <c r="H67" s="8"/>
    </row>
    <row r="68" spans="1:8" x14ac:dyDescent="0.2">
      <c r="A68" s="8"/>
      <c r="B68" s="173"/>
      <c r="C68" s="61">
        <v>185</v>
      </c>
      <c r="D68" s="18">
        <v>190</v>
      </c>
      <c r="E68" s="28">
        <f>2.85*AsphaltBinderBase+0.01</f>
        <v>1675.0975000000001</v>
      </c>
      <c r="F68" s="28">
        <f>2.9*AsphaltBinderBase</f>
        <v>1704.4749999999999</v>
      </c>
      <c r="G68" s="63">
        <f>1.85*AsphaltBinderBase</f>
        <v>1087.3375000000001</v>
      </c>
      <c r="H68" s="8"/>
    </row>
    <row r="69" spans="1:8" x14ac:dyDescent="0.2">
      <c r="A69" s="8"/>
      <c r="B69" s="173"/>
      <c r="C69" s="61">
        <v>190</v>
      </c>
      <c r="D69" s="18">
        <v>195</v>
      </c>
      <c r="E69" s="28">
        <f>2.9*AsphaltBinderBase+0.01</f>
        <v>1704.4849999999999</v>
      </c>
      <c r="F69" s="28">
        <f>2.95*AsphaltBinderBase</f>
        <v>1733.8625000000002</v>
      </c>
      <c r="G69" s="64">
        <f>1.9*AsphaltBinderBase</f>
        <v>1116.7249999999999</v>
      </c>
      <c r="H69" s="8"/>
    </row>
    <row r="70" spans="1:8" x14ac:dyDescent="0.2">
      <c r="A70" s="8"/>
      <c r="B70" s="173"/>
      <c r="C70" s="61">
        <v>195</v>
      </c>
      <c r="D70" s="18">
        <v>200</v>
      </c>
      <c r="E70" s="28">
        <f>2.95*AsphaltBinderBase+0.01</f>
        <v>1733.8725000000002</v>
      </c>
      <c r="F70" s="28">
        <f>3*AsphaltBinderBase</f>
        <v>1763.25</v>
      </c>
      <c r="G70" s="65">
        <f>1.95*AsphaltBinderBase</f>
        <v>1146.1125</v>
      </c>
      <c r="H70" s="8"/>
    </row>
    <row r="71" spans="1:8" x14ac:dyDescent="0.2">
      <c r="A71" s="8"/>
      <c r="B71" s="174"/>
      <c r="C71" s="61">
        <v>200</v>
      </c>
      <c r="D71" s="18">
        <v>205</v>
      </c>
      <c r="E71" s="28">
        <f>3*AsphaltBinderBase+0.01</f>
        <v>1763.26</v>
      </c>
      <c r="F71" s="28">
        <f>3.05*AsphaltBinderBase</f>
        <v>1792.6374999999998</v>
      </c>
      <c r="G71" s="65">
        <f>2*AsphaltBinderBase</f>
        <v>1175.5</v>
      </c>
      <c r="H71" s="8"/>
    </row>
    <row r="72" spans="1:8" x14ac:dyDescent="0.2">
      <c r="A72" s="8"/>
      <c r="B72" s="174"/>
      <c r="C72" s="61">
        <v>205</v>
      </c>
      <c r="D72" s="18">
        <v>210</v>
      </c>
      <c r="E72" s="28">
        <f>3.05*AsphaltBinderBase+0.01</f>
        <v>1792.6474999999998</v>
      </c>
      <c r="F72" s="28">
        <f>3.1*AsphaltBinderBase</f>
        <v>1822.0250000000001</v>
      </c>
      <c r="G72" s="65">
        <f>2.05*AsphaltBinderBase</f>
        <v>1204.8874999999998</v>
      </c>
      <c r="H72" s="8"/>
    </row>
    <row r="73" spans="1:8" x14ac:dyDescent="0.2">
      <c r="A73" s="8"/>
      <c r="B73" s="174"/>
      <c r="C73" s="61">
        <v>210</v>
      </c>
      <c r="D73" s="18">
        <v>215</v>
      </c>
      <c r="E73" s="28">
        <f>3.1*AsphaltBinderBase+0.01</f>
        <v>1822.0350000000001</v>
      </c>
      <c r="F73" s="28">
        <f>3.15*AsphaltBinderBase</f>
        <v>1851.4124999999999</v>
      </c>
      <c r="G73" s="65">
        <f>2.1*AsphaltBinderBase</f>
        <v>1234.2750000000001</v>
      </c>
      <c r="H73" s="8"/>
    </row>
    <row r="74" spans="1:8" x14ac:dyDescent="0.2">
      <c r="A74" s="8"/>
      <c r="B74" s="174"/>
      <c r="C74" s="61">
        <v>215</v>
      </c>
      <c r="D74" s="18">
        <v>220</v>
      </c>
      <c r="E74" s="28">
        <f>3.15*AsphaltBinderBase+0.01</f>
        <v>1851.4224999999999</v>
      </c>
      <c r="F74" s="28">
        <f>3.2*AsphaltBinderBase</f>
        <v>1880.8000000000002</v>
      </c>
      <c r="G74" s="65">
        <f>2.15*AsphaltBinderBase</f>
        <v>1263.6624999999999</v>
      </c>
      <c r="H74" s="8"/>
    </row>
    <row r="75" spans="1:8" x14ac:dyDescent="0.2">
      <c r="A75" s="8"/>
      <c r="B75" s="174"/>
      <c r="C75" s="61">
        <v>220</v>
      </c>
      <c r="D75" s="18">
        <v>225</v>
      </c>
      <c r="E75" s="28">
        <f>3.2*AsphaltBinderBase+0.01</f>
        <v>1880.8100000000002</v>
      </c>
      <c r="F75" s="28">
        <f>3.25*AsphaltBinderBase</f>
        <v>1910.1875</v>
      </c>
      <c r="G75" s="65">
        <f>2.2*AsphaltBinderBase</f>
        <v>1293.0500000000002</v>
      </c>
      <c r="H75" s="8"/>
    </row>
    <row r="76" spans="1:8" x14ac:dyDescent="0.2">
      <c r="A76" s="8"/>
      <c r="B76" s="174"/>
      <c r="C76" s="61">
        <v>225</v>
      </c>
      <c r="D76" s="18">
        <v>230</v>
      </c>
      <c r="E76" s="28">
        <f>3.25*AsphaltBinderBase+0.01</f>
        <v>1910.1975</v>
      </c>
      <c r="F76" s="28">
        <f>3.3*AsphaltBinderBase</f>
        <v>1939.5749999999998</v>
      </c>
      <c r="G76" s="65">
        <f>2.25*AsphaltBinderBase</f>
        <v>1322.4375</v>
      </c>
      <c r="H76" s="8"/>
    </row>
    <row r="77" spans="1:8" x14ac:dyDescent="0.2">
      <c r="A77" s="8"/>
      <c r="B77" s="174"/>
      <c r="C77" s="61">
        <v>230</v>
      </c>
      <c r="D77" s="18">
        <v>235</v>
      </c>
      <c r="E77" s="28">
        <f>3.3*AsphaltBinderBase+0.01</f>
        <v>1939.5849999999998</v>
      </c>
      <c r="F77" s="28">
        <f>3.35*AsphaltBinderBase</f>
        <v>1968.9625000000001</v>
      </c>
      <c r="G77" s="65">
        <f>2.3*AsphaltBinderBase</f>
        <v>1351.8249999999998</v>
      </c>
      <c r="H77" s="8"/>
    </row>
    <row r="78" spans="1:8" x14ac:dyDescent="0.2">
      <c r="A78" s="8"/>
      <c r="B78" s="174"/>
      <c r="C78" s="61">
        <v>235</v>
      </c>
      <c r="D78" s="18">
        <v>240</v>
      </c>
      <c r="E78" s="28">
        <f>3.35*AsphaltBinderBase+0.01</f>
        <v>1968.9725000000001</v>
      </c>
      <c r="F78" s="28">
        <f>3.4*AsphaltBinderBase</f>
        <v>1998.35</v>
      </c>
      <c r="G78" s="65">
        <f>2.35*AsphaltBinderBase</f>
        <v>1381.2125000000001</v>
      </c>
      <c r="H78" s="8"/>
    </row>
    <row r="79" spans="1:8" x14ac:dyDescent="0.2">
      <c r="A79" s="8"/>
      <c r="B79" s="174"/>
      <c r="C79" s="61">
        <v>240</v>
      </c>
      <c r="D79" s="18">
        <v>245</v>
      </c>
      <c r="E79" s="28">
        <f>3.4*AsphaltBinderBase+0.01</f>
        <v>1998.36</v>
      </c>
      <c r="F79" s="28">
        <f>3.45*AsphaltBinderBase</f>
        <v>2027.7375000000002</v>
      </c>
      <c r="G79" s="65">
        <f>2.4*AsphaltBinderBase</f>
        <v>1410.6</v>
      </c>
      <c r="H79" s="8"/>
    </row>
    <row r="80" spans="1:8" x14ac:dyDescent="0.2">
      <c r="A80" s="8"/>
      <c r="B80" s="174"/>
      <c r="C80" s="61">
        <v>245</v>
      </c>
      <c r="D80" s="18">
        <v>250</v>
      </c>
      <c r="E80" s="28">
        <f>3.45*AsphaltBinderBase+0.01</f>
        <v>2027.7475000000002</v>
      </c>
      <c r="F80" s="28">
        <f>3.5*AsphaltBinderBase</f>
        <v>2057.125</v>
      </c>
      <c r="G80" s="65">
        <f>2.45*AsphaltBinderBase</f>
        <v>1439.9875000000002</v>
      </c>
      <c r="H80" s="8"/>
    </row>
    <row r="81" spans="1:8" x14ac:dyDescent="0.2">
      <c r="A81" s="8"/>
      <c r="B81" s="174"/>
      <c r="C81" s="61">
        <v>250</v>
      </c>
      <c r="D81" s="18">
        <v>255</v>
      </c>
      <c r="E81" s="28">
        <f>3.5*AsphaltBinderBase+0.01</f>
        <v>2057.1350000000002</v>
      </c>
      <c r="F81" s="28">
        <f>3.55*AsphaltBinderBase</f>
        <v>2086.5124999999998</v>
      </c>
      <c r="G81" s="65">
        <f>2.5*AsphaltBinderBase</f>
        <v>1469.375</v>
      </c>
      <c r="H81" s="8"/>
    </row>
    <row r="82" spans="1:8" x14ac:dyDescent="0.2">
      <c r="A82" s="8"/>
      <c r="B82" s="174"/>
      <c r="C82" s="61">
        <v>255</v>
      </c>
      <c r="D82" s="18">
        <v>260</v>
      </c>
      <c r="E82" s="28">
        <f>3.55*AsphaltBinderBase+0.01</f>
        <v>2086.5225</v>
      </c>
      <c r="F82" s="28">
        <f>3.6*AsphaltBinderBase</f>
        <v>2115.9</v>
      </c>
      <c r="G82" s="65">
        <f>2.55*AsphaltBinderBase</f>
        <v>1498.7624999999998</v>
      </c>
      <c r="H82" s="8"/>
    </row>
    <row r="83" spans="1:8" x14ac:dyDescent="0.2">
      <c r="A83" s="8"/>
      <c r="B83" s="174"/>
      <c r="C83" s="61">
        <v>260</v>
      </c>
      <c r="D83" s="18">
        <v>265</v>
      </c>
      <c r="E83" s="28">
        <f>3.6*AsphaltBinderBase+0.01</f>
        <v>2115.9100000000003</v>
      </c>
      <c r="F83" s="28">
        <f>3.65*AsphaltBinderBase</f>
        <v>2145.2874999999999</v>
      </c>
      <c r="G83" s="65">
        <f>2.6*AsphaltBinderBase</f>
        <v>1528.15</v>
      </c>
      <c r="H83" s="8"/>
    </row>
    <row r="84" spans="1:8" x14ac:dyDescent="0.2">
      <c r="A84" s="8"/>
      <c r="B84" s="174"/>
      <c r="C84" s="61">
        <v>265</v>
      </c>
      <c r="D84" s="18">
        <v>270</v>
      </c>
      <c r="E84" s="28">
        <f>3.65*AsphaltBinderBase+0.01</f>
        <v>2145.2975000000001</v>
      </c>
      <c r="F84" s="28">
        <f>3.7*AsphaltBinderBase</f>
        <v>2174.6750000000002</v>
      </c>
      <c r="G84" s="65">
        <f>2.65*AsphaltBinderBase</f>
        <v>1557.5374999999999</v>
      </c>
      <c r="H84" s="8"/>
    </row>
    <row r="85" spans="1:8" x14ac:dyDescent="0.2">
      <c r="A85" s="8"/>
      <c r="B85" s="174"/>
      <c r="C85" s="61">
        <v>270</v>
      </c>
      <c r="D85" s="18">
        <v>275</v>
      </c>
      <c r="E85" s="28">
        <f>3.7*AsphaltBinderBase+0.01</f>
        <v>2174.6850000000004</v>
      </c>
      <c r="F85" s="28">
        <f>3.75*AsphaltBinderBase</f>
        <v>2204.0625</v>
      </c>
      <c r="G85" s="65">
        <f>2.7*AsphaltBinderBase</f>
        <v>1586.9250000000002</v>
      </c>
      <c r="H85" s="8"/>
    </row>
    <row r="86" spans="1:8" x14ac:dyDescent="0.2">
      <c r="A86" s="8"/>
      <c r="B86" s="174"/>
      <c r="C86" s="61">
        <v>275</v>
      </c>
      <c r="D86" s="18">
        <v>280</v>
      </c>
      <c r="E86" s="28">
        <f>3.75*AsphaltBinderBase+0.01</f>
        <v>2204.0725000000002</v>
      </c>
      <c r="F86" s="28">
        <f>3.8*AsphaltBinderBase</f>
        <v>2233.4499999999998</v>
      </c>
      <c r="G86" s="65">
        <f>2.75*AsphaltBinderBase</f>
        <v>1616.3125</v>
      </c>
      <c r="H86" s="8"/>
    </row>
    <row r="87" spans="1:8" x14ac:dyDescent="0.2">
      <c r="A87" s="8"/>
      <c r="B87" s="174"/>
      <c r="C87" s="61">
        <v>280</v>
      </c>
      <c r="D87" s="18">
        <v>285</v>
      </c>
      <c r="E87" s="28">
        <f>3.8*AsphaltBinderBase+0.01</f>
        <v>2233.46</v>
      </c>
      <c r="F87" s="28">
        <f>3.85*AsphaltBinderBase</f>
        <v>2262.8375000000001</v>
      </c>
      <c r="G87" s="65">
        <f>2.8*AsphaltBinderBase</f>
        <v>1645.6999999999998</v>
      </c>
      <c r="H87" s="8"/>
    </row>
    <row r="88" spans="1:8" x14ac:dyDescent="0.2">
      <c r="A88" s="8"/>
      <c r="B88" s="174"/>
      <c r="C88" s="61">
        <v>285</v>
      </c>
      <c r="D88" s="18">
        <v>290</v>
      </c>
      <c r="E88" s="28">
        <f>3.85*AsphaltBinderBase+0.01</f>
        <v>2262.8475000000003</v>
      </c>
      <c r="F88" s="28">
        <f>3.9*AsphaltBinderBase</f>
        <v>2292.2249999999999</v>
      </c>
      <c r="G88" s="65">
        <f>2.85*AsphaltBinderBase</f>
        <v>1675.0875000000001</v>
      </c>
      <c r="H88" s="8"/>
    </row>
    <row r="89" spans="1:8" x14ac:dyDescent="0.2">
      <c r="A89" s="8"/>
      <c r="B89" s="174"/>
      <c r="C89" s="61">
        <v>290</v>
      </c>
      <c r="D89" s="18">
        <v>295</v>
      </c>
      <c r="E89" s="28">
        <f>3.9*AsphaltBinderBase+0.01</f>
        <v>2292.2350000000001</v>
      </c>
      <c r="F89" s="28">
        <f>3.95*AsphaltBinderBase</f>
        <v>2321.6125000000002</v>
      </c>
      <c r="G89" s="65">
        <f>2.9*AsphaltBinderBase</f>
        <v>1704.4749999999999</v>
      </c>
      <c r="H89" s="8"/>
    </row>
    <row r="90" spans="1:8" x14ac:dyDescent="0.2">
      <c r="A90" s="8"/>
      <c r="B90" s="174"/>
      <c r="C90" s="61">
        <v>295</v>
      </c>
      <c r="D90" s="18">
        <v>300</v>
      </c>
      <c r="E90" s="28">
        <f>3.95*AsphaltBinderBase+0.01</f>
        <v>2321.6225000000004</v>
      </c>
      <c r="F90" s="28">
        <f>4*AsphaltBinderBase</f>
        <v>2351</v>
      </c>
      <c r="G90" s="65">
        <f>2.95*AsphaltBinderBase</f>
        <v>1733.8625000000002</v>
      </c>
      <c r="H90" s="8"/>
    </row>
    <row r="91" spans="1:8" x14ac:dyDescent="0.2">
      <c r="A91" s="8"/>
      <c r="B91" s="174"/>
      <c r="C91" s="61">
        <v>300</v>
      </c>
      <c r="D91" s="18">
        <v>305</v>
      </c>
      <c r="E91" s="28">
        <f>4*AsphaltBinderBase+0.01</f>
        <v>2351.0100000000002</v>
      </c>
      <c r="F91" s="28">
        <f>4.05*AsphaltBinderBase</f>
        <v>2380.3874999999998</v>
      </c>
      <c r="G91" s="65">
        <f>3*AsphaltBinderBase</f>
        <v>1763.25</v>
      </c>
      <c r="H91" s="8"/>
    </row>
    <row r="92" spans="1:8" x14ac:dyDescent="0.2">
      <c r="A92" s="8"/>
      <c r="B92" s="174"/>
      <c r="C92" s="61">
        <v>305</v>
      </c>
      <c r="D92" s="18">
        <v>310</v>
      </c>
      <c r="E92" s="28">
        <f>4.05*AsphaltBinderBase+0.01</f>
        <v>2380.3975</v>
      </c>
      <c r="F92" s="28">
        <f>4.1*AsphaltBinderBase</f>
        <v>2409.7749999999996</v>
      </c>
      <c r="G92" s="65">
        <f>3.05*AsphaltBinderBase</f>
        <v>1792.6374999999998</v>
      </c>
      <c r="H92" s="8"/>
    </row>
    <row r="93" spans="1:8" x14ac:dyDescent="0.2">
      <c r="A93" s="8"/>
      <c r="B93" s="174"/>
      <c r="C93" s="61">
        <v>310</v>
      </c>
      <c r="D93" s="18">
        <v>315</v>
      </c>
      <c r="E93" s="28">
        <f>4.1*AsphaltBinderBase+0.01</f>
        <v>2409.7849999999999</v>
      </c>
      <c r="F93" s="28">
        <f>4.15*AsphaltBinderBase</f>
        <v>2439.1625000000004</v>
      </c>
      <c r="G93" s="65">
        <f>3.1*AsphaltBinderBase</f>
        <v>1822.0250000000001</v>
      </c>
      <c r="H93" s="8"/>
    </row>
    <row r="94" spans="1:8" x14ac:dyDescent="0.2">
      <c r="A94" s="8"/>
      <c r="B94" s="174"/>
      <c r="C94" s="61">
        <v>315</v>
      </c>
      <c r="D94" s="18">
        <v>320</v>
      </c>
      <c r="E94" s="28">
        <f>4.15*AsphaltBinderBase+0.01</f>
        <v>2439.1725000000006</v>
      </c>
      <c r="F94" s="28">
        <f>4.2*AsphaltBinderBase</f>
        <v>2468.5500000000002</v>
      </c>
      <c r="G94" s="65">
        <f>3.15*AsphaltBinderBase</f>
        <v>1851.4124999999999</v>
      </c>
      <c r="H94" s="8"/>
    </row>
    <row r="95" spans="1:8" x14ac:dyDescent="0.2">
      <c r="A95" s="8"/>
      <c r="B95" s="174"/>
      <c r="C95" s="61">
        <v>320</v>
      </c>
      <c r="D95" s="18">
        <v>325</v>
      </c>
      <c r="E95" s="28">
        <f>4.2*AsphaltBinderBase+0.01</f>
        <v>2468.5600000000004</v>
      </c>
      <c r="F95" s="28">
        <f>4.25*AsphaltBinderBase</f>
        <v>2497.9375</v>
      </c>
      <c r="G95" s="65">
        <f>3.2*AsphaltBinderBase</f>
        <v>1880.8000000000002</v>
      </c>
      <c r="H95" s="8"/>
    </row>
    <row r="96" spans="1:8" x14ac:dyDescent="0.2">
      <c r="A96" s="8"/>
      <c r="B96" s="174"/>
      <c r="C96" s="61">
        <v>325</v>
      </c>
      <c r="D96" s="18">
        <v>330</v>
      </c>
      <c r="E96" s="28">
        <f>4.25*AsphaltBinderBase+0.01</f>
        <v>2497.9475000000002</v>
      </c>
      <c r="F96" s="28">
        <f>4.3*AsphaltBinderBase</f>
        <v>2527.3249999999998</v>
      </c>
      <c r="G96" s="65">
        <f>3.25*AsphaltBinderBase</f>
        <v>1910.1875</v>
      </c>
      <c r="H96" s="8"/>
    </row>
    <row r="97" spans="1:8" x14ac:dyDescent="0.2">
      <c r="A97" s="8"/>
      <c r="B97" s="174"/>
      <c r="C97" s="61">
        <v>330</v>
      </c>
      <c r="D97" s="18">
        <v>335</v>
      </c>
      <c r="E97" s="28">
        <f>4.3*AsphaltBinderBase+0.01</f>
        <v>2527.335</v>
      </c>
      <c r="F97" s="28">
        <f>4.35*AsphaltBinderBase</f>
        <v>2556.7124999999996</v>
      </c>
      <c r="G97" s="65">
        <f>3.3*AsphaltBinderBase</f>
        <v>1939.5749999999998</v>
      </c>
      <c r="H97" s="8"/>
    </row>
    <row r="98" spans="1:8" x14ac:dyDescent="0.2">
      <c r="A98" s="8"/>
      <c r="B98" s="174"/>
      <c r="C98" s="61">
        <v>335</v>
      </c>
      <c r="D98" s="18">
        <v>340</v>
      </c>
      <c r="E98" s="28">
        <f>4.35*AsphaltBinderBase+0.01</f>
        <v>2556.7224999999999</v>
      </c>
      <c r="F98" s="28">
        <f>4.4*AsphaltBinderBase</f>
        <v>2586.1000000000004</v>
      </c>
      <c r="G98" s="65">
        <f>3.35*AsphaltBinderBase</f>
        <v>1968.9625000000001</v>
      </c>
      <c r="H98" s="8"/>
    </row>
    <row r="99" spans="1:8" x14ac:dyDescent="0.2">
      <c r="A99" s="8"/>
      <c r="B99" s="174"/>
      <c r="C99" s="61">
        <v>340</v>
      </c>
      <c r="D99" s="18">
        <v>345</v>
      </c>
      <c r="E99" s="28">
        <f>4.4*AsphaltBinderBase+0.01</f>
        <v>2586.1100000000006</v>
      </c>
      <c r="F99" s="28">
        <f>4.45*AsphaltBinderBase</f>
        <v>2615.4875000000002</v>
      </c>
      <c r="G99" s="65">
        <f>3.4*AsphaltBinderBase</f>
        <v>1998.35</v>
      </c>
      <c r="H99" s="8"/>
    </row>
    <row r="100" spans="1:8" x14ac:dyDescent="0.2">
      <c r="A100" s="8"/>
      <c r="B100" s="174"/>
      <c r="C100" s="61">
        <v>345</v>
      </c>
      <c r="D100" s="18">
        <v>350</v>
      </c>
      <c r="E100" s="28">
        <f>4.45*AsphaltBinderBase+0.01</f>
        <v>2615.4975000000004</v>
      </c>
      <c r="F100" s="28">
        <f>4.5*AsphaltBinderBase</f>
        <v>2644.875</v>
      </c>
      <c r="G100" s="65">
        <f>3.45*AsphaltBinderBase</f>
        <v>2027.7375000000002</v>
      </c>
      <c r="H100" s="8"/>
    </row>
    <row r="101" spans="1:8" x14ac:dyDescent="0.2">
      <c r="A101" s="8"/>
      <c r="B101" s="174"/>
      <c r="C101" s="61">
        <v>350</v>
      </c>
      <c r="D101" s="18">
        <v>355</v>
      </c>
      <c r="E101" s="28">
        <f>4.5*AsphaltBinderBase+0.01</f>
        <v>2644.8850000000002</v>
      </c>
      <c r="F101" s="28">
        <f>4.55*AsphaltBinderBase</f>
        <v>2674.2624999999998</v>
      </c>
      <c r="G101" s="65">
        <f>3.5*AsphaltBinderBase</f>
        <v>2057.125</v>
      </c>
      <c r="H101" s="8"/>
    </row>
    <row r="102" spans="1:8" x14ac:dyDescent="0.2">
      <c r="A102" s="8"/>
      <c r="B102" s="174"/>
      <c r="C102" s="61">
        <v>355</v>
      </c>
      <c r="D102" s="18">
        <v>360</v>
      </c>
      <c r="E102" s="28">
        <f>4.55*AsphaltBinderBase+0.01</f>
        <v>2674.2725</v>
      </c>
      <c r="F102" s="28">
        <f>4.6*AsphaltBinderBase</f>
        <v>2703.6499999999996</v>
      </c>
      <c r="G102" s="65">
        <f>3.55*AsphaltBinderBase</f>
        <v>2086.5124999999998</v>
      </c>
      <c r="H102" s="8"/>
    </row>
    <row r="103" spans="1:8" x14ac:dyDescent="0.2">
      <c r="A103" s="8"/>
      <c r="B103" s="174"/>
      <c r="C103" s="61">
        <v>360</v>
      </c>
      <c r="D103" s="18">
        <v>365</v>
      </c>
      <c r="E103" s="28">
        <f>4.6*AsphaltBinderBase+0.01</f>
        <v>2703.66</v>
      </c>
      <c r="F103" s="28">
        <f>4.65*AsphaltBinderBase</f>
        <v>2733.0375000000004</v>
      </c>
      <c r="G103" s="65">
        <f>3.6*AsphaltBinderBase</f>
        <v>2115.9</v>
      </c>
      <c r="H103" s="8"/>
    </row>
    <row r="104" spans="1:8" x14ac:dyDescent="0.2">
      <c r="A104" s="8"/>
      <c r="B104" s="174"/>
      <c r="C104" s="61">
        <v>365</v>
      </c>
      <c r="D104" s="18">
        <v>370</v>
      </c>
      <c r="E104" s="28">
        <f>4.65*AsphaltBinderBase+0.01</f>
        <v>2733.0475000000006</v>
      </c>
      <c r="F104" s="28">
        <f>4.7*AsphaltBinderBase</f>
        <v>2762.4250000000002</v>
      </c>
      <c r="G104" s="65">
        <f>3.65*AsphaltBinderBase</f>
        <v>2145.2874999999999</v>
      </c>
      <c r="H104" s="8"/>
    </row>
    <row r="105" spans="1:8" x14ac:dyDescent="0.2">
      <c r="A105" s="8"/>
      <c r="B105" s="175"/>
      <c r="C105" s="67">
        <v>370</v>
      </c>
      <c r="D105" s="53">
        <v>375</v>
      </c>
      <c r="E105" s="56">
        <f>4.7*AsphaltBinderBase+0.01</f>
        <v>2762.4350000000004</v>
      </c>
      <c r="F105" s="56">
        <f>4.75*AsphaltBinderBase</f>
        <v>2791.8125</v>
      </c>
      <c r="G105" s="66">
        <f>3.7*AsphaltBinderBase</f>
        <v>2174.6750000000002</v>
      </c>
      <c r="H105" s="8"/>
    </row>
    <row r="106" spans="1:8" x14ac:dyDescent="0.2">
      <c r="A106" s="8"/>
      <c r="B106" s="8"/>
      <c r="C106" s="8"/>
      <c r="D106" s="8"/>
      <c r="E106" s="8"/>
      <c r="F106" s="8"/>
      <c r="G106" s="8"/>
      <c r="H106" s="8"/>
    </row>
    <row r="107" spans="1:8" x14ac:dyDescent="0.2">
      <c r="A107" s="8"/>
      <c r="B107" s="8"/>
      <c r="C107" s="8"/>
      <c r="D107" s="8"/>
      <c r="E107" s="8"/>
      <c r="F107" s="8"/>
      <c r="G107" s="8"/>
      <c r="H107" s="8"/>
    </row>
    <row r="108" spans="1:8" x14ac:dyDescent="0.2">
      <c r="A108" s="8"/>
      <c r="B108" s="8"/>
      <c r="C108" s="8"/>
      <c r="D108" s="8"/>
      <c r="E108" s="8"/>
      <c r="F108" s="8"/>
      <c r="G108" s="8"/>
      <c r="H108" s="8"/>
    </row>
  </sheetData>
  <sheetProtection algorithmName="SHA-512" hashValue="z4MdVeK+eqConrGpz29Jlqh1msPFPhZy8Q+yUnxyP6qdMhNtBnaJVAwhkn7gqM1Mg9jBTILRkMSUt5+J2pCPjg==" saltValue="LbzPlDxWSNsr8LbvnbKM9Q==" spinCount="100000" sheet="1" objects="1" scenarios="1"/>
  <mergeCells count="6">
    <mergeCell ref="B31:B105"/>
    <mergeCell ref="B11:B30"/>
    <mergeCell ref="B2:G2"/>
    <mergeCell ref="C4:D4"/>
    <mergeCell ref="C5:D5"/>
    <mergeCell ref="C6:D6"/>
  </mergeCells>
  <phoneticPr fontId="0" type="noConversion"/>
  <conditionalFormatting sqref="G11:G105">
    <cfRule type="cellIs" dxfId="0" priority="1" stopIfTrue="1" operator="equal">
      <formula>$E$6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22"/>
  <sheetViews>
    <sheetView zoomScale="130" zoomScaleNormal="130" workbookViewId="0">
      <selection activeCell="I8" sqref="I8"/>
    </sheetView>
  </sheetViews>
  <sheetFormatPr defaultRowHeight="12.75" x14ac:dyDescent="0.2"/>
  <cols>
    <col min="2" max="2" width="26.5703125" bestFit="1" customWidth="1"/>
    <col min="4" max="4" width="10.42578125" customWidth="1"/>
    <col min="5" max="5" width="12" bestFit="1" customWidth="1"/>
    <col min="6" max="6" width="12.140625" customWidth="1"/>
  </cols>
  <sheetData>
    <row r="1" spans="1:8" x14ac:dyDescent="0.2">
      <c r="A1" s="8"/>
      <c r="B1" s="8"/>
      <c r="C1" s="8"/>
      <c r="D1" s="8"/>
      <c r="E1" s="8"/>
      <c r="F1" s="8"/>
      <c r="G1" s="8"/>
      <c r="H1" s="8"/>
    </row>
    <row r="2" spans="1:8" ht="15.75" x14ac:dyDescent="0.25">
      <c r="A2" s="8"/>
      <c r="B2" s="182" t="s">
        <v>44</v>
      </c>
      <c r="C2" s="182"/>
      <c r="D2" s="182"/>
      <c r="E2" s="182"/>
      <c r="F2" s="182"/>
      <c r="G2" s="8"/>
      <c r="H2" s="8"/>
    </row>
    <row r="3" spans="1:8" x14ac:dyDescent="0.2">
      <c r="A3" s="8"/>
      <c r="B3" s="1"/>
      <c r="C3" s="1"/>
      <c r="D3" s="29" t="s">
        <v>45</v>
      </c>
      <c r="E3" s="30">
        <f>AsphaltBinderBase</f>
        <v>587.75</v>
      </c>
      <c r="F3" s="1"/>
      <c r="G3" s="8"/>
      <c r="H3" s="8"/>
    </row>
    <row r="4" spans="1:8" x14ac:dyDescent="0.2">
      <c r="A4" s="8"/>
      <c r="B4" s="1"/>
      <c r="C4" s="1"/>
      <c r="D4" s="29" t="s">
        <v>46</v>
      </c>
      <c r="E4" s="30">
        <f>AsphaltBinderCurrent</f>
        <v>587.75</v>
      </c>
      <c r="F4" s="1"/>
      <c r="G4" s="8"/>
      <c r="H4" s="8"/>
    </row>
    <row r="5" spans="1:8" ht="51" x14ac:dyDescent="0.2">
      <c r="A5" s="8"/>
      <c r="B5" s="31" t="s">
        <v>47</v>
      </c>
      <c r="C5" s="32" t="s">
        <v>48</v>
      </c>
      <c r="D5" s="33" t="s">
        <v>49</v>
      </c>
      <c r="E5" s="33" t="s">
        <v>50</v>
      </c>
      <c r="F5" s="33" t="s">
        <v>51</v>
      </c>
      <c r="G5" s="8"/>
      <c r="H5" s="8"/>
    </row>
    <row r="6" spans="1:8" ht="15" x14ac:dyDescent="0.25">
      <c r="A6" s="8"/>
      <c r="B6" s="69" t="s">
        <v>54</v>
      </c>
      <c r="C6" s="70"/>
      <c r="D6" s="70"/>
      <c r="E6" s="70"/>
      <c r="F6" s="71"/>
      <c r="G6" s="8"/>
      <c r="H6" s="8"/>
    </row>
    <row r="7" spans="1:8" x14ac:dyDescent="0.2">
      <c r="A7" s="8"/>
      <c r="B7" s="72" t="s">
        <v>52</v>
      </c>
      <c r="C7" s="32" t="s">
        <v>20</v>
      </c>
      <c r="D7" s="32">
        <v>0.28000000000000003</v>
      </c>
      <c r="E7" s="32">
        <f>D7*0.65/235</f>
        <v>7.7446808510638304E-4</v>
      </c>
      <c r="F7" s="34">
        <f>E7*AsphaltBinderChange</f>
        <v>0</v>
      </c>
      <c r="G7" s="8"/>
      <c r="H7" s="8"/>
    </row>
    <row r="8" spans="1:8" x14ac:dyDescent="0.2">
      <c r="A8" s="8"/>
      <c r="B8" s="72" t="s">
        <v>53</v>
      </c>
      <c r="C8" s="1"/>
      <c r="D8" s="1"/>
      <c r="E8" s="1"/>
      <c r="F8" s="1"/>
      <c r="G8" s="8"/>
      <c r="H8" s="8"/>
    </row>
    <row r="9" spans="1:8" x14ac:dyDescent="0.2">
      <c r="A9" s="8"/>
      <c r="B9" s="73" t="s">
        <v>60</v>
      </c>
      <c r="C9" s="32" t="s">
        <v>20</v>
      </c>
      <c r="D9" s="32">
        <v>0.55000000000000004</v>
      </c>
      <c r="E9" s="32">
        <f>D9*0.65/235</f>
        <v>1.521276595744681E-3</v>
      </c>
      <c r="F9" s="34">
        <f>E9*AsphaltBinderChange</f>
        <v>0</v>
      </c>
      <c r="G9" s="8"/>
      <c r="H9" s="8"/>
    </row>
    <row r="10" spans="1:8" x14ac:dyDescent="0.2">
      <c r="A10" s="8"/>
      <c r="B10" s="73" t="s">
        <v>61</v>
      </c>
      <c r="C10" s="32" t="s">
        <v>20</v>
      </c>
      <c r="D10" s="32">
        <v>0.46</v>
      </c>
      <c r="E10" s="32">
        <f>D10*0.65/235</f>
        <v>1.2723404255319151E-3</v>
      </c>
      <c r="F10" s="34">
        <f>E10*AsphaltBinderChange</f>
        <v>0</v>
      </c>
      <c r="G10" s="8"/>
      <c r="H10" s="8"/>
    </row>
    <row r="11" spans="1:8" x14ac:dyDescent="0.2">
      <c r="A11" s="8"/>
      <c r="B11" s="73" t="s">
        <v>62</v>
      </c>
      <c r="C11" s="32" t="s">
        <v>20</v>
      </c>
      <c r="D11" s="32">
        <v>0.48</v>
      </c>
      <c r="E11" s="32">
        <f>D11*0.65/235</f>
        <v>1.3276595744680852E-3</v>
      </c>
      <c r="F11" s="34">
        <f>E11*AsphaltBinderChange</f>
        <v>0</v>
      </c>
      <c r="G11" s="8"/>
      <c r="H11" s="8"/>
    </row>
    <row r="12" spans="1:8" x14ac:dyDescent="0.2">
      <c r="A12" s="8"/>
      <c r="B12" s="73"/>
      <c r="C12" s="32"/>
      <c r="D12" s="32"/>
      <c r="E12" s="32"/>
      <c r="F12" s="34"/>
      <c r="G12" s="8"/>
      <c r="H12" s="8"/>
    </row>
    <row r="13" spans="1:8" x14ac:dyDescent="0.2">
      <c r="A13" s="8"/>
      <c r="B13" s="73"/>
      <c r="C13" s="32"/>
      <c r="D13" s="32"/>
      <c r="E13" s="32"/>
      <c r="F13" s="34"/>
      <c r="G13" s="8"/>
      <c r="H13" s="8"/>
    </row>
    <row r="14" spans="1:8" x14ac:dyDescent="0.2">
      <c r="A14" s="8"/>
      <c r="B14" s="74"/>
      <c r="C14" s="75"/>
      <c r="D14" s="75"/>
      <c r="E14" s="75"/>
      <c r="F14" s="76"/>
      <c r="G14" s="8"/>
      <c r="H14" s="8"/>
    </row>
    <row r="15" spans="1:8" x14ac:dyDescent="0.2">
      <c r="A15" s="8"/>
      <c r="B15" s="74" t="s">
        <v>57</v>
      </c>
      <c r="C15" s="32" t="s">
        <v>20</v>
      </c>
      <c r="D15" s="32">
        <v>0.71</v>
      </c>
      <c r="E15" s="32">
        <f>D15*0.65/235</f>
        <v>1.9638297872340425E-3</v>
      </c>
      <c r="F15" s="34">
        <f>E15*AsphaltBinderChange</f>
        <v>0</v>
      </c>
      <c r="G15" s="8"/>
      <c r="H15" s="8"/>
    </row>
    <row r="16" spans="1:8" x14ac:dyDescent="0.2">
      <c r="A16" s="8"/>
      <c r="B16" s="73"/>
      <c r="C16" s="32"/>
      <c r="D16" s="32"/>
      <c r="E16" s="32"/>
      <c r="F16" s="34"/>
      <c r="G16" s="8"/>
      <c r="H16" s="8"/>
    </row>
    <row r="17" spans="1:8" x14ac:dyDescent="0.2">
      <c r="A17" s="8"/>
      <c r="B17" s="73"/>
      <c r="C17" s="32"/>
      <c r="D17" s="32"/>
      <c r="E17" s="32"/>
      <c r="F17" s="34"/>
      <c r="G17" s="8"/>
      <c r="H17" s="8"/>
    </row>
    <row r="18" spans="1:8" x14ac:dyDescent="0.2">
      <c r="A18" s="8"/>
      <c r="B18" s="8"/>
      <c r="C18" s="8"/>
      <c r="D18" s="8"/>
      <c r="E18" s="8"/>
      <c r="F18" s="8"/>
      <c r="G18" s="8"/>
      <c r="H18" s="8"/>
    </row>
    <row r="19" spans="1:8" x14ac:dyDescent="0.2">
      <c r="A19" s="8"/>
      <c r="B19" s="8"/>
      <c r="C19" s="8"/>
      <c r="D19" s="8"/>
      <c r="E19" s="8"/>
      <c r="F19" s="8"/>
      <c r="G19" s="8"/>
      <c r="H19" s="8"/>
    </row>
    <row r="20" spans="1:8" x14ac:dyDescent="0.2">
      <c r="A20" s="8"/>
      <c r="B20" s="8"/>
      <c r="C20" s="8"/>
      <c r="D20" s="8"/>
      <c r="E20" s="8"/>
      <c r="F20" s="8"/>
      <c r="G20" s="8"/>
      <c r="H20" s="8"/>
    </row>
    <row r="21" spans="1:8" x14ac:dyDescent="0.2">
      <c r="A21" s="8"/>
      <c r="B21" s="8"/>
      <c r="C21" s="8"/>
      <c r="D21" s="8"/>
      <c r="E21" s="8"/>
      <c r="F21" s="8"/>
      <c r="G21" s="8"/>
      <c r="H21" s="8"/>
    </row>
    <row r="22" spans="1:8" x14ac:dyDescent="0.2">
      <c r="A22" s="8"/>
      <c r="B22" s="8"/>
      <c r="C22" s="8"/>
      <c r="D22" s="8"/>
      <c r="E22" s="8"/>
      <c r="F22" s="8"/>
      <c r="G22" s="8"/>
      <c r="H22" s="8"/>
    </row>
  </sheetData>
  <sheetProtection algorithmName="SHA-512" hashValue="nY22SCwM5BcLsmLsPFLldeNzl2BBqUNMYKMZeGtcT7xqCgg2CH7C9EbIXjlXForU+gQE1FER4GCxIz1gNLYaTA==" saltValue="vTd3FWjYUR8/b5PXBSXIXg==" spinCount="100000" sheet="1" objects="1" scenarios="1"/>
  <mergeCells count="1">
    <mergeCell ref="B2:F2"/>
  </mergeCells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711360-1E2D-43A8-9958-126F87192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FD95E60-72C2-4D53-AEF7-89E60D2A69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A864B6-2C0F-4AB3-A4FC-C69E40A765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Index Dates and Adjustments</vt:lpstr>
      <vt:lpstr>Maintain Indexes</vt:lpstr>
      <vt:lpstr>Fuel Charts</vt:lpstr>
      <vt:lpstr>AC Binder Chart</vt:lpstr>
      <vt:lpstr>Bit. Surf. Chart</vt:lpstr>
      <vt:lpstr>AsphaltBinderBase</vt:lpstr>
      <vt:lpstr>AsphaltBinderChange</vt:lpstr>
      <vt:lpstr>AsphaltBinderCurrent</vt:lpstr>
      <vt:lpstr>DieselBase</vt:lpstr>
      <vt:lpstr>DieselChange</vt:lpstr>
      <vt:lpstr>DieselCurrent</vt:lpstr>
      <vt:lpstr>MaintainIndexes</vt:lpstr>
      <vt:lpstr>UnleadedBase</vt:lpstr>
      <vt:lpstr>UnleadedChange</vt:lpstr>
      <vt:lpstr>UnleadedCurrent</vt:lpstr>
      <vt:lpstr>Validdates</vt:lpstr>
    </vt:vector>
  </TitlesOfParts>
  <Company>SCDOT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Lindberg</dc:creator>
  <cp:lastModifiedBy>Robinson, Desinique, M.</cp:lastModifiedBy>
  <cp:lastPrinted>2011-06-17T15:19:45Z</cp:lastPrinted>
  <dcterms:created xsi:type="dcterms:W3CDTF">2006-08-02T15:15:53Z</dcterms:created>
  <dcterms:modified xsi:type="dcterms:W3CDTF">2025-07-03T16:59:20Z</dcterms:modified>
</cp:coreProperties>
</file>