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oxfk\Desktop\"/>
    </mc:Choice>
  </mc:AlternateContent>
  <xr:revisionPtr revIDLastSave="0" documentId="8_{95511243-6EFF-4B84-8052-A237DDDDD176}" xr6:coauthVersionLast="47" xr6:coauthVersionMax="47" xr10:uidLastSave="{00000000-0000-0000-0000-000000000000}"/>
  <workbookProtection workbookAlgorithmName="SHA-512" workbookHashValue="xkjS7AwzjQuLMob2fGUl56Z5RwuVuFh+81jPgOa41KH52ShAHWEjgA8cqx1KH6hsROvsuTsV1+MKMiXDeoDH/w==" workbookSaltValue="0jc07TxrVCTXuwLy90eujA==" workbookSpinCount="100000" lockStructure="1"/>
  <bookViews>
    <workbookView xWindow="1290" yWindow="1275" windowWidth="27510" windowHeight="14925" tabRatio="845" xr2:uid="{00000000-000D-0000-FFFF-FFFF00000000}"/>
  </bookViews>
  <sheets>
    <sheet name="Index Dates and Adjustments" sheetId="1" r:id="rId1"/>
    <sheet name="Maintain Indexes" sheetId="2" r:id="rId2"/>
    <sheet name="Fuel Charts" sheetId="3" r:id="rId3"/>
    <sheet name="AC Binder Chart" sheetId="4" r:id="rId4"/>
    <sheet name="Bit. Surf. Chart" sheetId="5" r:id="rId5"/>
  </sheets>
  <definedNames>
    <definedName name="AsphaltBinderBase">'Index Dates and Adjustments'!$C$8</definedName>
    <definedName name="AsphaltBinderChange">'AC Binder Chart'!$E$6</definedName>
    <definedName name="AsphaltBinderCurrent">'Index Dates and Adjustments'!$I$8</definedName>
    <definedName name="DieselBase">'Index Dates and Adjustments'!$D$8</definedName>
    <definedName name="DieselChange">'Fuel Charts'!$E$7</definedName>
    <definedName name="DieselCurrent">'Index Dates and Adjustments'!$J$8</definedName>
    <definedName name="MaintainIndexes">'Maintain Indexes'!$B$4:$E$543</definedName>
    <definedName name="UnleadedBase">'Index Dates and Adjustments'!$E$8</definedName>
    <definedName name="UnleadedChange">'Fuel Charts'!$E$62</definedName>
    <definedName name="UnleadedCurrent">'Index Dates and Adjustments'!$K$8</definedName>
    <definedName name="Validdates">'Maintain Indexes'!$B$4:$B$543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E35" i="4" l="1"/>
  <c r="I8" i="1"/>
  <c r="E4" i="5" s="1"/>
  <c r="E10" i="5"/>
  <c r="E11" i="5"/>
  <c r="E12" i="5"/>
  <c r="E13" i="5"/>
  <c r="E9" i="5"/>
  <c r="E7" i="5"/>
  <c r="E17" i="5"/>
  <c r="E16" i="5"/>
  <c r="E15" i="5"/>
  <c r="D8" i="1"/>
  <c r="E50" i="3" s="1"/>
  <c r="E8" i="1"/>
  <c r="G78" i="3" s="1"/>
  <c r="K8" i="1"/>
  <c r="E61" i="3" s="1"/>
  <c r="J8" i="1"/>
  <c r="E6" i="3" s="1"/>
  <c r="E85" i="4" l="1"/>
  <c r="E90" i="4"/>
  <c r="E16" i="4"/>
  <c r="E97" i="4"/>
  <c r="F79" i="4"/>
  <c r="F33" i="4"/>
  <c r="F45" i="4"/>
  <c r="E41" i="4"/>
  <c r="F89" i="3"/>
  <c r="F54" i="4"/>
  <c r="E3" i="5"/>
  <c r="G90" i="3"/>
  <c r="E87" i="4"/>
  <c r="F68" i="4"/>
  <c r="E81" i="4"/>
  <c r="E105" i="4"/>
  <c r="F96" i="4"/>
  <c r="F22" i="4"/>
  <c r="E84" i="4"/>
  <c r="F40" i="4"/>
  <c r="G65" i="4"/>
  <c r="G91" i="4"/>
  <c r="G37" i="4"/>
  <c r="F26" i="4"/>
  <c r="F63" i="4"/>
  <c r="G60" i="4"/>
  <c r="G84" i="4"/>
  <c r="F91" i="4"/>
  <c r="F88" i="4"/>
  <c r="G87" i="4"/>
  <c r="E95" i="4"/>
  <c r="F19" i="4"/>
  <c r="G42" i="4"/>
  <c r="E93" i="4"/>
  <c r="G61" i="4"/>
  <c r="G62" i="4"/>
  <c r="G82" i="4"/>
  <c r="G27" i="4"/>
  <c r="F75" i="4"/>
  <c r="F28" i="4"/>
  <c r="E74" i="4"/>
  <c r="F82" i="4"/>
  <c r="G36" i="4"/>
  <c r="E49" i="4"/>
  <c r="G57" i="4"/>
  <c r="G50" i="3"/>
  <c r="G43" i="3"/>
  <c r="G42" i="3"/>
  <c r="F30" i="3"/>
  <c r="G83" i="3"/>
  <c r="F48" i="3"/>
  <c r="E82" i="4"/>
  <c r="F15" i="4"/>
  <c r="F97" i="4"/>
  <c r="G103" i="4"/>
  <c r="G43" i="4"/>
  <c r="F38" i="4"/>
  <c r="F78" i="4"/>
  <c r="G12" i="4"/>
  <c r="E12" i="4"/>
  <c r="E51" i="4"/>
  <c r="G78" i="4"/>
  <c r="F50" i="4"/>
  <c r="G72" i="3"/>
  <c r="E74" i="3"/>
  <c r="E58" i="4"/>
  <c r="F41" i="4"/>
  <c r="E61" i="4"/>
  <c r="F46" i="4"/>
  <c r="F72" i="4"/>
  <c r="E20" i="4"/>
  <c r="E13" i="4"/>
  <c r="G56" i="4"/>
  <c r="F71" i="4"/>
  <c r="G29" i="4"/>
  <c r="G75" i="4"/>
  <c r="E48" i="4"/>
  <c r="G63" i="4"/>
  <c r="G50" i="4"/>
  <c r="E65" i="4"/>
  <c r="E67" i="4"/>
  <c r="G21" i="4"/>
  <c r="G39" i="4"/>
  <c r="F101" i="4"/>
  <c r="E103" i="4"/>
  <c r="G15" i="4"/>
  <c r="E38" i="4"/>
  <c r="E15" i="4"/>
  <c r="G35" i="4"/>
  <c r="G92" i="4"/>
  <c r="E23" i="4"/>
  <c r="G20" i="4"/>
  <c r="E68" i="4"/>
  <c r="G51" i="4"/>
  <c r="E70" i="4"/>
  <c r="E100" i="4"/>
  <c r="E31" i="4"/>
  <c r="F67" i="4"/>
  <c r="E27" i="4"/>
  <c r="G16" i="4"/>
  <c r="G59" i="4"/>
  <c r="G85" i="4"/>
  <c r="E44" i="4"/>
  <c r="G98" i="4"/>
  <c r="G30" i="4"/>
  <c r="F74" i="4"/>
  <c r="E40" i="4"/>
  <c r="G102" i="4"/>
  <c r="F73" i="4"/>
  <c r="F52" i="4"/>
  <c r="E57" i="4"/>
  <c r="F84" i="4"/>
  <c r="E24" i="4"/>
  <c r="E30" i="4"/>
  <c r="F60" i="4"/>
  <c r="F90" i="4"/>
  <c r="G76" i="4"/>
  <c r="F25" i="4"/>
  <c r="F51" i="4"/>
  <c r="E72" i="4"/>
  <c r="F59" i="4"/>
  <c r="F29" i="4"/>
  <c r="G80" i="4"/>
  <c r="G33" i="4"/>
  <c r="F53" i="4"/>
  <c r="G97" i="4"/>
  <c r="F48" i="4"/>
  <c r="F92" i="4"/>
  <c r="F11" i="4"/>
  <c r="E32" i="4"/>
  <c r="E71" i="4"/>
  <c r="E21" i="4"/>
  <c r="E28" i="4"/>
  <c r="G55" i="4"/>
  <c r="E33" i="4"/>
  <c r="F86" i="4"/>
  <c r="G67" i="4"/>
  <c r="G72" i="4"/>
  <c r="G49" i="4"/>
  <c r="F21" i="4"/>
  <c r="F104" i="4"/>
  <c r="F43" i="4"/>
  <c r="G83" i="4"/>
  <c r="F65" i="4"/>
  <c r="G34" i="4"/>
  <c r="E63" i="4"/>
  <c r="E98" i="4"/>
  <c r="F81" i="3"/>
  <c r="G95" i="3"/>
  <c r="E22" i="4"/>
  <c r="E101" i="4"/>
  <c r="G14" i="4"/>
  <c r="G28" i="4"/>
  <c r="E26" i="4"/>
  <c r="F16" i="4"/>
  <c r="E45" i="4"/>
  <c r="G70" i="4"/>
  <c r="G104" i="4"/>
  <c r="G38" i="4"/>
  <c r="F17" i="4"/>
  <c r="F35" i="4"/>
  <c r="E43" i="4"/>
  <c r="E75" i="4"/>
  <c r="F42" i="4"/>
  <c r="F103" i="4"/>
  <c r="F61" i="4"/>
  <c r="E47" i="4"/>
  <c r="G89" i="4"/>
  <c r="F76" i="4"/>
  <c r="F27" i="4"/>
  <c r="G79" i="4"/>
  <c r="G100" i="4"/>
  <c r="F80" i="4"/>
  <c r="E56" i="4"/>
  <c r="E78" i="4"/>
  <c r="F81" i="4"/>
  <c r="E92" i="3"/>
  <c r="E66" i="4"/>
  <c r="E83" i="3"/>
  <c r="F32" i="4"/>
  <c r="E53" i="4"/>
  <c r="F36" i="4"/>
  <c r="F89" i="4"/>
  <c r="G45" i="4"/>
  <c r="F69" i="4"/>
  <c r="E50" i="4"/>
  <c r="E29" i="4"/>
  <c r="F99" i="4"/>
  <c r="F70" i="4"/>
  <c r="E11" i="4"/>
  <c r="F14" i="4"/>
  <c r="G22" i="4"/>
  <c r="G73" i="4"/>
  <c r="F58" i="4"/>
  <c r="E19" i="4"/>
  <c r="G71" i="4"/>
  <c r="G44" i="4"/>
  <c r="F93" i="4"/>
  <c r="F55" i="4"/>
  <c r="F18" i="4"/>
  <c r="E80" i="4"/>
  <c r="E59" i="4"/>
  <c r="G68" i="4"/>
  <c r="E37" i="4"/>
  <c r="G101" i="4"/>
  <c r="F94" i="4"/>
  <c r="E35" i="3"/>
  <c r="G16" i="3"/>
  <c r="F42" i="3"/>
  <c r="G15" i="3"/>
  <c r="G40" i="3"/>
  <c r="G51" i="3"/>
  <c r="E18" i="3"/>
  <c r="G19" i="3"/>
  <c r="E27" i="3"/>
  <c r="G33" i="3"/>
  <c r="G49" i="3"/>
  <c r="E14" i="3"/>
  <c r="F12" i="3"/>
  <c r="G25" i="3"/>
  <c r="G29" i="3"/>
  <c r="G13" i="3"/>
  <c r="G35" i="3"/>
  <c r="F31" i="3"/>
  <c r="E13" i="3"/>
  <c r="F23" i="3"/>
  <c r="G22" i="3"/>
  <c r="E38" i="3"/>
  <c r="E29" i="3"/>
  <c r="G46" i="3"/>
  <c r="F82" i="3"/>
  <c r="E102" i="3"/>
  <c r="F88" i="3"/>
  <c r="G75" i="3"/>
  <c r="F67" i="3"/>
  <c r="F97" i="3"/>
  <c r="F73" i="3"/>
  <c r="F95" i="3"/>
  <c r="E88" i="3"/>
  <c r="E82" i="3"/>
  <c r="F106" i="3"/>
  <c r="F76" i="3"/>
  <c r="G80" i="3"/>
  <c r="E98" i="3"/>
  <c r="F69" i="3"/>
  <c r="G99" i="3"/>
  <c r="G95" i="4"/>
  <c r="E92" i="4"/>
  <c r="G54" i="4"/>
  <c r="E25" i="4"/>
  <c r="F37" i="4"/>
  <c r="G32" i="4"/>
  <c r="E73" i="4"/>
  <c r="G46" i="4"/>
  <c r="G24" i="4"/>
  <c r="F79" i="3"/>
  <c r="G77" i="3"/>
  <c r="G92" i="3"/>
  <c r="G103" i="3"/>
  <c r="F92" i="3"/>
  <c r="F86" i="3"/>
  <c r="G67" i="3"/>
  <c r="F102" i="3"/>
  <c r="E73" i="3"/>
  <c r="E94" i="3"/>
  <c r="E91" i="3"/>
  <c r="E86" i="3"/>
  <c r="F94" i="3"/>
  <c r="G93" i="3"/>
  <c r="G97" i="3"/>
  <c r="F75" i="3"/>
  <c r="G84" i="3"/>
  <c r="F78" i="3"/>
  <c r="G100" i="3"/>
  <c r="E95" i="3"/>
  <c r="G89" i="3"/>
  <c r="F72" i="3"/>
  <c r="E89" i="3"/>
  <c r="G71" i="3"/>
  <c r="F91" i="3"/>
  <c r="G76" i="3"/>
  <c r="E14" i="4"/>
  <c r="G47" i="4"/>
  <c r="G77" i="4"/>
  <c r="G104" i="3"/>
  <c r="E79" i="3"/>
  <c r="G85" i="3"/>
  <c r="E15" i="3"/>
  <c r="E12" i="3"/>
  <c r="E5" i="3"/>
  <c r="F37" i="3"/>
  <c r="G45" i="3"/>
  <c r="G24" i="3"/>
  <c r="G27" i="3"/>
  <c r="F19" i="3"/>
  <c r="E22" i="3"/>
  <c r="G44" i="3"/>
  <c r="E41" i="3"/>
  <c r="F39" i="3"/>
  <c r="F21" i="3"/>
  <c r="F26" i="3"/>
  <c r="E36" i="3"/>
  <c r="F13" i="3"/>
  <c r="F27" i="3"/>
  <c r="F49" i="3"/>
  <c r="F18" i="3"/>
  <c r="F20" i="3"/>
  <c r="G31" i="3"/>
  <c r="F29" i="3"/>
  <c r="F38" i="3"/>
  <c r="E33" i="3"/>
  <c r="F40" i="3"/>
  <c r="G20" i="3"/>
  <c r="G12" i="3"/>
  <c r="E51" i="3"/>
  <c r="G34" i="3"/>
  <c r="G28" i="3"/>
  <c r="E48" i="3"/>
  <c r="F33" i="3"/>
  <c r="E28" i="3"/>
  <c r="E42" i="3"/>
  <c r="F14" i="3"/>
  <c r="E37" i="3"/>
  <c r="F24" i="3"/>
  <c r="E34" i="3"/>
  <c r="E17" i="3"/>
  <c r="F44" i="3"/>
  <c r="F47" i="3"/>
  <c r="F34" i="3"/>
  <c r="G47" i="3"/>
  <c r="G37" i="3"/>
  <c r="G23" i="3"/>
  <c r="F25" i="3"/>
  <c r="G39" i="3"/>
  <c r="F35" i="3"/>
  <c r="G17" i="3"/>
  <c r="F45" i="3"/>
  <c r="E44" i="3"/>
  <c r="F32" i="3"/>
  <c r="G21" i="3"/>
  <c r="G41" i="3"/>
  <c r="F15" i="3"/>
  <c r="G36" i="3"/>
  <c r="G18" i="3"/>
  <c r="E43" i="3"/>
  <c r="E25" i="3"/>
  <c r="E39" i="3"/>
  <c r="E49" i="3"/>
  <c r="E46" i="3"/>
  <c r="E16" i="3"/>
  <c r="E47" i="3"/>
  <c r="E21" i="3"/>
  <c r="E31" i="3"/>
  <c r="F46" i="3"/>
  <c r="G26" i="3"/>
  <c r="E19" i="3"/>
  <c r="E24" i="3"/>
  <c r="G32" i="3"/>
  <c r="F17" i="3"/>
  <c r="G38" i="3"/>
  <c r="E23" i="3"/>
  <c r="E20" i="3"/>
  <c r="F51" i="3"/>
  <c r="F43" i="3"/>
  <c r="F36" i="3"/>
  <c r="F41" i="3"/>
  <c r="E40" i="3"/>
  <c r="G48" i="3"/>
  <c r="E30" i="3"/>
  <c r="F16" i="3"/>
  <c r="E26" i="3"/>
  <c r="F50" i="3"/>
  <c r="G14" i="3"/>
  <c r="F22" i="3"/>
  <c r="F28" i="3"/>
  <c r="E32" i="3"/>
  <c r="E45" i="3"/>
  <c r="G30" i="3"/>
  <c r="E5" i="4"/>
  <c r="G81" i="3"/>
  <c r="F101" i="3"/>
  <c r="G74" i="3"/>
  <c r="F90" i="3"/>
  <c r="G73" i="3"/>
  <c r="E71" i="3"/>
  <c r="F77" i="4"/>
  <c r="G48" i="4"/>
  <c r="F56" i="4"/>
  <c r="G18" i="4"/>
  <c r="G11" i="4"/>
  <c r="G40" i="4"/>
  <c r="G88" i="4"/>
  <c r="E60" i="4"/>
  <c r="G17" i="4"/>
  <c r="E46" i="4"/>
  <c r="E94" i="4"/>
  <c r="G66" i="4"/>
  <c r="E83" i="4"/>
  <c r="F39" i="4"/>
  <c r="E39" i="4"/>
  <c r="F100" i="4"/>
  <c r="E104" i="4"/>
  <c r="F12" i="4"/>
  <c r="E54" i="4"/>
  <c r="F64" i="4"/>
  <c r="E62" i="4"/>
  <c r="F85" i="4"/>
  <c r="E102" i="4"/>
  <c r="E55" i="4"/>
  <c r="E89" i="4"/>
  <c r="F20" i="4"/>
  <c r="E4" i="4"/>
  <c r="E77" i="4"/>
  <c r="G94" i="4"/>
  <c r="G93" i="4"/>
  <c r="G25" i="4"/>
  <c r="F57" i="4"/>
  <c r="E99" i="4"/>
  <c r="G26" i="4"/>
  <c r="F95" i="4"/>
  <c r="F87" i="4"/>
  <c r="E69" i="4"/>
  <c r="F66" i="4"/>
  <c r="F34" i="4"/>
  <c r="F30" i="4"/>
  <c r="E36" i="4"/>
  <c r="G86" i="4"/>
  <c r="E17" i="4"/>
  <c r="G23" i="4"/>
  <c r="G31" i="4"/>
  <c r="F49" i="4"/>
  <c r="F102" i="4"/>
  <c r="E34" i="4"/>
  <c r="F13" i="4"/>
  <c r="G64" i="4"/>
  <c r="E64" i="4"/>
  <c r="G13" i="4"/>
  <c r="G69" i="4"/>
  <c r="G81" i="4"/>
  <c r="E52" i="4"/>
  <c r="E18" i="4"/>
  <c r="F31" i="4"/>
  <c r="F62" i="4"/>
  <c r="E42" i="4"/>
  <c r="F83" i="4"/>
  <c r="E96" i="4"/>
  <c r="G52" i="4"/>
  <c r="G90" i="4"/>
  <c r="G19" i="4"/>
  <c r="F24" i="4"/>
  <c r="G105" i="4"/>
  <c r="F98" i="4"/>
  <c r="G41" i="4"/>
  <c r="G99" i="4"/>
  <c r="E86" i="4"/>
  <c r="G58" i="4"/>
  <c r="F105" i="4"/>
  <c r="G74" i="4"/>
  <c r="E76" i="4"/>
  <c r="G53" i="4"/>
  <c r="F44" i="4"/>
  <c r="F23" i="4"/>
  <c r="E88" i="4"/>
  <c r="G96" i="4"/>
  <c r="F47" i="4"/>
  <c r="E79" i="4"/>
  <c r="E91" i="4"/>
  <c r="G96" i="3"/>
  <c r="E97" i="3"/>
  <c r="G87" i="3"/>
  <c r="E104" i="3"/>
  <c r="E99" i="3"/>
  <c r="G106" i="3"/>
  <c r="E101" i="3"/>
  <c r="E70" i="3"/>
  <c r="E80" i="3"/>
  <c r="F71" i="3"/>
  <c r="E93" i="3"/>
  <c r="G82" i="3"/>
  <c r="G70" i="3"/>
  <c r="F103" i="3"/>
  <c r="G101" i="3"/>
  <c r="F83" i="3"/>
  <c r="G91" i="3"/>
  <c r="F99" i="3"/>
  <c r="F80" i="3"/>
  <c r="G68" i="3"/>
  <c r="F77" i="3"/>
  <c r="F68" i="3"/>
  <c r="E87" i="3"/>
  <c r="E90" i="3"/>
  <c r="E68" i="3"/>
  <c r="F105" i="3"/>
  <c r="F74" i="3"/>
  <c r="F70" i="3"/>
  <c r="E103" i="3"/>
  <c r="E96" i="3"/>
  <c r="G69" i="3"/>
  <c r="E76" i="3"/>
  <c r="G98" i="3"/>
  <c r="F85" i="3"/>
  <c r="G102" i="3"/>
  <c r="E60" i="3"/>
  <c r="E72" i="3"/>
  <c r="E78" i="3"/>
  <c r="G105" i="3"/>
  <c r="F100" i="3"/>
  <c r="G94" i="3"/>
  <c r="E84" i="3"/>
  <c r="E100" i="3"/>
  <c r="F104" i="3"/>
  <c r="G79" i="3"/>
  <c r="F93" i="3"/>
  <c r="F96" i="3"/>
  <c r="F98" i="3"/>
  <c r="F87" i="3"/>
  <c r="E105" i="3"/>
  <c r="G88" i="3"/>
  <c r="F84" i="3"/>
  <c r="E81" i="3"/>
  <c r="E69" i="3"/>
  <c r="G86" i="3"/>
  <c r="E75" i="3"/>
  <c r="E67" i="3"/>
  <c r="E85" i="3"/>
  <c r="E77" i="3"/>
  <c r="E106" i="3"/>
  <c r="E7" i="3" l="1"/>
  <c r="I30" i="1" s="1"/>
  <c r="E6" i="4"/>
  <c r="I44" i="1" s="1"/>
  <c r="E62" i="3"/>
  <c r="J28" i="1" s="1"/>
  <c r="I40" i="1" l="1"/>
  <c r="F16" i="5"/>
  <c r="F11" i="5"/>
  <c r="F10" i="5"/>
  <c r="I24" i="1"/>
  <c r="J29" i="1"/>
  <c r="I17" i="1"/>
  <c r="I28" i="1"/>
  <c r="K28" i="1" s="1"/>
  <c r="I26" i="1"/>
  <c r="I21" i="1"/>
  <c r="I13" i="1"/>
  <c r="I41" i="1"/>
  <c r="I49" i="1"/>
  <c r="F12" i="5"/>
  <c r="I54" i="1"/>
  <c r="I22" i="1"/>
  <c r="I23" i="1"/>
  <c r="I19" i="1"/>
  <c r="I18" i="1"/>
  <c r="I20" i="1"/>
  <c r="I38" i="1"/>
  <c r="I16" i="1"/>
  <c r="I27" i="1"/>
  <c r="I14" i="1"/>
  <c r="I25" i="1"/>
  <c r="I15" i="1"/>
  <c r="I29" i="1"/>
  <c r="J22" i="1"/>
  <c r="I47" i="1"/>
  <c r="I43" i="1"/>
  <c r="F13" i="5"/>
  <c r="I35" i="1"/>
  <c r="I36" i="1"/>
  <c r="I39" i="1"/>
  <c r="I46" i="1"/>
  <c r="I50" i="1"/>
  <c r="I51" i="1"/>
  <c r="F7" i="5"/>
  <c r="F17" i="5"/>
  <c r="I48" i="1"/>
  <c r="I52" i="1"/>
  <c r="I42" i="1"/>
  <c r="F15" i="5"/>
  <c r="I37" i="1"/>
  <c r="F9" i="5"/>
  <c r="I45" i="1"/>
  <c r="I53" i="1"/>
  <c r="J23" i="1"/>
  <c r="J20" i="1"/>
  <c r="J14" i="1"/>
  <c r="J21" i="1"/>
  <c r="J19" i="1"/>
  <c r="J26" i="1"/>
  <c r="J30" i="1"/>
  <c r="K30" i="1" s="1"/>
  <c r="J27" i="1"/>
  <c r="J13" i="1"/>
  <c r="J24" i="1"/>
  <c r="J16" i="1"/>
  <c r="J15" i="1"/>
  <c r="J18" i="1"/>
  <c r="J25" i="1"/>
  <c r="J17" i="1"/>
  <c r="K17" i="1" l="1"/>
  <c r="K22" i="1"/>
  <c r="K18" i="1"/>
  <c r="K13" i="1"/>
  <c r="K24" i="1"/>
  <c r="K15" i="1"/>
  <c r="K14" i="1"/>
  <c r="K25" i="1"/>
  <c r="K21" i="1"/>
  <c r="K27" i="1"/>
  <c r="K26" i="1"/>
  <c r="K23" i="1"/>
  <c r="K29" i="1"/>
  <c r="K20" i="1"/>
  <c r="K16" i="1"/>
  <c r="K19" i="1"/>
</calcChain>
</file>

<file path=xl/sharedStrings.xml><?xml version="1.0" encoding="utf-8"?>
<sst xmlns="http://schemas.openxmlformats.org/spreadsheetml/2006/main" count="158" uniqueCount="93">
  <si>
    <t>Monthly Indexes</t>
  </si>
  <si>
    <t>Date</t>
  </si>
  <si>
    <t>Bituminous</t>
  </si>
  <si>
    <t>Diesel</t>
  </si>
  <si>
    <t>Unleaded</t>
  </si>
  <si>
    <t>WORKSHEET FOR DETERMINING FUEL AND ASPHALT BINDER INDEX ADJUSTMENTS</t>
  </si>
  <si>
    <r>
      <t xml:space="preserve">HOW TO USE:  </t>
    </r>
    <r>
      <rPr>
        <sz val="12"/>
        <rFont val="Arial"/>
        <family val="2"/>
      </rPr>
      <t>Select Base Index Date (cell B8) and Current Index Date (cell H8).</t>
    </r>
  </si>
  <si>
    <t>Spreadsheet uses stored index data to calculate and present index adjustments for eligible items of work.</t>
  </si>
  <si>
    <t>Adjustments to be applied in accordance with contract provisions.</t>
  </si>
  <si>
    <t>Select Base Indexes</t>
  </si>
  <si>
    <t>Select Current Indexes</t>
  </si>
  <si>
    <t>Asphalt Binder</t>
  </si>
  <si>
    <t xml:space="preserve">                                                                               </t>
  </si>
  <si>
    <t>Items of Work Eligible for Fuel Adjustments *</t>
  </si>
  <si>
    <t xml:space="preserve">Unit </t>
  </si>
  <si>
    <t>Gallons Per Unit</t>
  </si>
  <si>
    <t>Monetary Adjustment per Unit</t>
  </si>
  <si>
    <t>Combined</t>
  </si>
  <si>
    <t>Excavation (Unclassified, Borrow, etc.)</t>
  </si>
  <si>
    <t>CY</t>
  </si>
  <si>
    <t>Embankment in Place</t>
  </si>
  <si>
    <t>Sand Clay Base Course 6" Uniform</t>
  </si>
  <si>
    <t>SY</t>
  </si>
  <si>
    <t>Sand Clay Base Course 8" Uniform</t>
  </si>
  <si>
    <t>Graded Aggregate Base Course 6" Uniform</t>
  </si>
  <si>
    <t>Graded Aggregate Base Course 8" Uniform</t>
  </si>
  <si>
    <t>Hot Mix Asphalt (Base, Binder, Surface Courses)</t>
  </si>
  <si>
    <t>TON</t>
  </si>
  <si>
    <t>Full Depth Patching - 4" (Fuel)</t>
  </si>
  <si>
    <t>Full Depth Patching - 6" (Fuel)</t>
  </si>
  <si>
    <t>Full Depth Patching - 8" (Fuel)</t>
  </si>
  <si>
    <t>Full Depth Patching - 10" (Fuel)</t>
  </si>
  <si>
    <t>Full Depth Patching - 12" (Fuel)</t>
  </si>
  <si>
    <t>Portland Cement Concrete Pavements</t>
  </si>
  <si>
    <t>Structural Concrete</t>
  </si>
  <si>
    <t>Reinforced Concrete Pipe (24" or less)</t>
  </si>
  <si>
    <t>LF</t>
  </si>
  <si>
    <t>Reinforced Concrete Pipe (greater than 24")</t>
  </si>
  <si>
    <t>* Eligible for index adjustment when specified in contract.</t>
  </si>
  <si>
    <t>Items of Work Eligible for A.C. Binder Adjustments *</t>
  </si>
  <si>
    <t>AC Binder Tons 
per Unit</t>
  </si>
  <si>
    <t>Monetary Adjustment 
per Unit (for AC Binder)</t>
  </si>
  <si>
    <t>Liquid Asphalt Binder (PG64-22)</t>
  </si>
  <si>
    <t>Liquid Asphalt Binder (PG76-22)</t>
  </si>
  <si>
    <t>Full Depth Patching - 4" (AC Binder)</t>
  </si>
  <si>
    <t>Full Depth Patching - 6" (AC Binder)</t>
  </si>
  <si>
    <t>Full Depth Patching - 8" (AC Binder)</t>
  </si>
  <si>
    <t>Full Depth Patching - 10" (AC Binder)</t>
  </si>
  <si>
    <t>Full Depth Patching - 12" (AC Binder)</t>
  </si>
  <si>
    <t>Base Index Chart and Index Change for Diesel Fuel</t>
  </si>
  <si>
    <t>Base Index Value</t>
  </si>
  <si>
    <t>Current Index Value</t>
  </si>
  <si>
    <t>Index Change Value</t>
  </si>
  <si>
    <t>DECREASE</t>
  </si>
  <si>
    <t>INCREASE</t>
  </si>
  <si>
    <t>Base Index Chart and Index Change for Unleaded Fuel</t>
  </si>
  <si>
    <t>Base Index Chart and Index Change for Asphalt Cement Binder</t>
  </si>
  <si>
    <t>Adjustments per Square Yard of Bituminous Surfacing</t>
  </si>
  <si>
    <t>Asphalt Binder Base Index</t>
  </si>
  <si>
    <t>Asphalt Binder Current Index</t>
  </si>
  <si>
    <t>Bituminous Surfacing Type</t>
  </si>
  <si>
    <t>Unit</t>
  </si>
  <si>
    <t>Minimum Gallons of Liquid per SY</t>
  </si>
  <si>
    <t>Tons of A.C. Binder per SY</t>
  </si>
  <si>
    <t>Adjustment per Square Yard</t>
  </si>
  <si>
    <t>Single Treatment</t>
  </si>
  <si>
    <t>Type-1</t>
  </si>
  <si>
    <t>Type-2</t>
  </si>
  <si>
    <t>Double Treatment</t>
  </si>
  <si>
    <t>Type-4</t>
  </si>
  <si>
    <t>Asphalt Surface Treatment</t>
  </si>
  <si>
    <t>Microsurfacing, Type II</t>
  </si>
  <si>
    <t>Microsurfacing, Type II - Leveling</t>
  </si>
  <si>
    <t>Emulsion for High Performance Chip Seal (Macrosurfacing)</t>
  </si>
  <si>
    <t>Gal</t>
  </si>
  <si>
    <t>Asph Surf Trmt - Triple Treatment-Type 1 (0.85 gal/sy emulsion)</t>
  </si>
  <si>
    <t>Asph Surf Trmt - Triple Treatment-Type 2 (0.71 gal/sy emulsion)</t>
  </si>
  <si>
    <t>Asph Surf Trmt - Triple Treatment-Type 4 (0.82 gal/sy emulsion)</t>
  </si>
  <si>
    <t>Asph Surf Trmt - Single Treatment (0.28 gals/sy mod. emulsion)</t>
  </si>
  <si>
    <t xml:space="preserve">   Triple Treatment</t>
  </si>
  <si>
    <t>Asph Surf Trmt - Double Treatment - Type 5 (0.48 gals/sy mod. emulsion)</t>
  </si>
  <si>
    <t>Asph Surf Trmt - Double Treatment - Type 4 (0.46 gals/sy mod. emulsion)</t>
  </si>
  <si>
    <t>Asph Surf Trmt - Double Treatment - Type 3 (0.55 gals/sy mod. emulsion)</t>
  </si>
  <si>
    <t>Asph Surf Trmt - Double Treatment - Type 2 (0.97 gals/sy mod. emulsion)</t>
  </si>
  <si>
    <t>Asph Surf Trmt - Double Treatment - Type 1 (0.82 gals/sy mod. emulsion)</t>
  </si>
  <si>
    <t>Type 2</t>
  </si>
  <si>
    <t>Type 3</t>
  </si>
  <si>
    <t>Type 4</t>
  </si>
  <si>
    <t>Type 5</t>
  </si>
  <si>
    <t>Type 1</t>
  </si>
  <si>
    <t>Preventative Maintenance Surface Treatment (80 # per SY @ 6.5% AC)</t>
  </si>
  <si>
    <t>Graded Aggregate Base Course 10" Uniform</t>
  </si>
  <si>
    <t>Borrow Excavation - Lightweight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</si>
</sst>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0.000"/>
    <numFmt numFmtId="166" formatCode="#,##0.0000_);\(#,##0.0000\)"/>
    <numFmt numFmtId="167" formatCode="&quot;$&quot;#,##0.00"/>
    <numFmt numFmtId="168" formatCode="&quot;$&quot;#,##0.0000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</fills>
  <borders count="7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9"/>
      </top>
      <bottom/>
      <diagonal/>
    </border>
    <border>
      <left/>
      <right/>
      <top style="thick">
        <color indexed="9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ck">
        <color theme="0" tint="-4.9989318521683403E-2"/>
      </right>
      <top style="thick">
        <color indexed="64"/>
      </top>
      <bottom style="thick">
        <color theme="0" tint="-4.9989318521683403E-2"/>
      </bottom>
      <diagonal/>
    </border>
    <border>
      <left style="thick">
        <color theme="0" tint="-4.9989318521683403E-2"/>
      </left>
      <right style="thick">
        <color theme="0" tint="-4.9989318521683403E-2"/>
      </right>
      <top style="thick">
        <color indexed="64"/>
      </top>
      <bottom style="thick">
        <color theme="0" tint="-4.9989318521683403E-2"/>
      </bottom>
      <diagonal/>
    </border>
    <border>
      <left style="thick">
        <color theme="0" tint="-4.9989318521683403E-2"/>
      </left>
      <right style="thick">
        <color indexed="64"/>
      </right>
      <top style="thick">
        <color indexed="64"/>
      </top>
      <bottom style="thick">
        <color theme="0" tint="-4.9989318521683403E-2"/>
      </bottom>
      <diagonal/>
    </border>
    <border>
      <left style="thick">
        <color indexed="64"/>
      </left>
      <right style="thick">
        <color theme="0" tint="-4.9989318521683403E-2"/>
      </right>
      <top style="thick">
        <color theme="0" tint="-4.9989318521683403E-2"/>
      </top>
      <bottom style="thick">
        <color theme="0" tint="-4.9989318521683403E-2"/>
      </bottom>
      <diagonal/>
    </border>
    <border>
      <left style="thick">
        <color theme="0" tint="-4.9989318521683403E-2"/>
      </left>
      <right style="thick">
        <color theme="0" tint="-4.9989318521683403E-2"/>
      </right>
      <top style="thick">
        <color theme="0" tint="-4.9989318521683403E-2"/>
      </top>
      <bottom style="thick">
        <color theme="0" tint="-4.9989318521683403E-2"/>
      </bottom>
      <diagonal/>
    </border>
    <border>
      <left style="thick">
        <color theme="0" tint="-4.9989318521683403E-2"/>
      </left>
      <right style="thick">
        <color indexed="64"/>
      </right>
      <top style="thick">
        <color theme="0" tint="-4.9989318521683403E-2"/>
      </top>
      <bottom style="thick">
        <color theme="0" tint="-4.9989318521683403E-2"/>
      </bottom>
      <diagonal/>
    </border>
    <border>
      <left style="thick">
        <color indexed="64"/>
      </left>
      <right style="thick">
        <color theme="0" tint="-4.9989318521683403E-2"/>
      </right>
      <top style="thick">
        <color theme="0" tint="-4.9989318521683403E-2"/>
      </top>
      <bottom style="thick">
        <color indexed="64"/>
      </bottom>
      <diagonal/>
    </border>
    <border>
      <left style="thick">
        <color theme="0" tint="-4.9989318521683403E-2"/>
      </left>
      <right style="thick">
        <color theme="0" tint="-4.9989318521683403E-2"/>
      </right>
      <top style="thick">
        <color theme="0" tint="-4.9989318521683403E-2"/>
      </top>
      <bottom style="thick">
        <color indexed="64"/>
      </bottom>
      <diagonal/>
    </border>
    <border>
      <left style="thick">
        <color theme="0" tint="-4.9989318521683403E-2"/>
      </left>
      <right style="thick">
        <color indexed="64"/>
      </right>
      <top style="thick">
        <color theme="0" tint="-4.9989318521683403E-2"/>
      </top>
      <bottom style="thick">
        <color indexed="64"/>
      </bottom>
      <diagonal/>
    </border>
  </borders>
  <cellStyleXfs count="518">
    <xf numFmtId="0" fontId="0" fillId="0" borderId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7" fillId="0" borderId="0"/>
    <xf numFmtId="0" fontId="43" fillId="0" borderId="0"/>
    <xf numFmtId="43" fontId="28" fillId="0" borderId="0" applyFont="0" applyFill="0" applyBorder="0" applyAlignment="0" applyProtection="0"/>
    <xf numFmtId="0" fontId="26" fillId="0" borderId="0"/>
    <xf numFmtId="0" fontId="25" fillId="0" borderId="0"/>
    <xf numFmtId="0" fontId="28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4" fillId="0" borderId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4" fillId="0" borderId="0"/>
    <xf numFmtId="43" fontId="2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88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0" fontId="0" fillId="3" borderId="0" xfId="0" applyFill="1" applyAlignment="1" applyProtection="1">
      <alignment horizontal="center"/>
      <protection hidden="1"/>
    </xf>
    <xf numFmtId="15" fontId="0" fillId="3" borderId="0" xfId="0" applyNumberFormat="1" applyFill="1" applyProtection="1">
      <protection hidden="1"/>
    </xf>
    <xf numFmtId="44" fontId="28" fillId="3" borderId="0" xfId="2" applyFill="1" applyProtection="1">
      <protection hidden="1"/>
    </xf>
    <xf numFmtId="164" fontId="28" fillId="3" borderId="0" xfId="2" applyNumberFormat="1" applyFill="1" applyProtection="1">
      <protection hidden="1"/>
    </xf>
    <xf numFmtId="15" fontId="0" fillId="4" borderId="9" xfId="0" applyNumberFormat="1" applyFill="1" applyBorder="1" applyAlignment="1" applyProtection="1">
      <alignment horizontal="center"/>
      <protection locked="0"/>
    </xf>
    <xf numFmtId="15" fontId="0" fillId="0" borderId="9" xfId="0" applyNumberFormat="1" applyBorder="1" applyAlignment="1" applyProtection="1">
      <alignment horizontal="center"/>
      <protection locked="0"/>
    </xf>
    <xf numFmtId="0" fontId="0" fillId="3" borderId="0" xfId="0" applyFill="1"/>
    <xf numFmtId="0" fontId="0" fillId="3" borderId="0" xfId="0" applyFill="1" applyProtection="1">
      <protection hidden="1"/>
    </xf>
    <xf numFmtId="0" fontId="0" fillId="2" borderId="17" xfId="0" applyFill="1" applyBorder="1" applyProtection="1">
      <protection hidden="1"/>
    </xf>
    <xf numFmtId="0" fontId="0" fillId="2" borderId="18" xfId="0" applyFill="1" applyBorder="1" applyProtection="1">
      <protection hidden="1"/>
    </xf>
    <xf numFmtId="168" fontId="28" fillId="3" borderId="9" xfId="2" applyNumberFormat="1" applyFill="1" applyBorder="1" applyProtection="1">
      <protection hidden="1"/>
    </xf>
    <xf numFmtId="168" fontId="28" fillId="3" borderId="19" xfId="2" applyNumberFormat="1" applyFill="1" applyBorder="1" applyProtection="1">
      <protection hidden="1"/>
    </xf>
    <xf numFmtId="168" fontId="28" fillId="5" borderId="9" xfId="2" applyNumberFormat="1" applyFill="1" applyBorder="1" applyProtection="1">
      <protection hidden="1"/>
    </xf>
    <xf numFmtId="0" fontId="0" fillId="2" borderId="20" xfId="0" applyFill="1" applyBorder="1" applyProtection="1">
      <protection hidden="1"/>
    </xf>
    <xf numFmtId="168" fontId="28" fillId="2" borderId="20" xfId="2" applyNumberFormat="1" applyFill="1" applyBorder="1" applyProtection="1">
      <protection hidden="1"/>
    </xf>
    <xf numFmtId="168" fontId="28" fillId="2" borderId="21" xfId="2" applyNumberFormat="1" applyFill="1" applyBorder="1" applyProtection="1">
      <protection hidden="1"/>
    </xf>
    <xf numFmtId="0" fontId="0" fillId="2" borderId="22" xfId="0" applyFill="1" applyBorder="1" applyProtection="1">
      <protection hidden="1"/>
    </xf>
    <xf numFmtId="168" fontId="28" fillId="2" borderId="22" xfId="2" applyNumberFormat="1" applyFill="1" applyBorder="1" applyProtection="1">
      <protection hidden="1"/>
    </xf>
    <xf numFmtId="168" fontId="28" fillId="2" borderId="23" xfId="2" applyNumberFormat="1" applyFill="1" applyBorder="1" applyProtection="1">
      <protection hidden="1"/>
    </xf>
    <xf numFmtId="0" fontId="0" fillId="2" borderId="24" xfId="0" applyFill="1" applyBorder="1" applyProtection="1">
      <protection hidden="1"/>
    </xf>
    <xf numFmtId="168" fontId="28" fillId="2" borderId="24" xfId="2" applyNumberFormat="1" applyFill="1" applyBorder="1" applyProtection="1">
      <protection hidden="1"/>
    </xf>
    <xf numFmtId="168" fontId="28" fillId="2" borderId="25" xfId="2" applyNumberFormat="1" applyFill="1" applyBorder="1" applyProtection="1">
      <protection hidden="1"/>
    </xf>
    <xf numFmtId="0" fontId="0" fillId="3" borderId="0" xfId="0" applyFill="1" applyAlignment="1" applyProtection="1">
      <alignment horizontal="center" vertical="center" textRotation="255"/>
      <protection hidden="1"/>
    </xf>
    <xf numFmtId="168" fontId="28" fillId="3" borderId="0" xfId="2" applyNumberFormat="1" applyFill="1" applyBorder="1" applyProtection="1">
      <protection hidden="1"/>
    </xf>
    <xf numFmtId="167" fontId="28" fillId="3" borderId="9" xfId="2" applyNumberFormat="1" applyFill="1" applyBorder="1" applyProtection="1">
      <protection hidden="1"/>
    </xf>
    <xf numFmtId="167" fontId="28" fillId="5" borderId="9" xfId="2" applyNumberFormat="1" applyFill="1" applyBorder="1" applyProtection="1">
      <protection hidden="1"/>
    </xf>
    <xf numFmtId="167" fontId="28" fillId="2" borderId="22" xfId="2" applyNumberFormat="1" applyFill="1" applyBorder="1" applyProtection="1">
      <protection hidden="1"/>
    </xf>
    <xf numFmtId="0" fontId="0" fillId="2" borderId="0" xfId="0" applyFill="1" applyAlignment="1">
      <alignment horizontal="right"/>
    </xf>
    <xf numFmtId="44" fontId="0" fillId="0" borderId="9" xfId="2" applyFont="1" applyFill="1" applyBorder="1"/>
    <xf numFmtId="0" fontId="36" fillId="2" borderId="9" xfId="0" applyFont="1" applyFill="1" applyBorder="1"/>
    <xf numFmtId="0" fontId="0" fillId="2" borderId="9" xfId="0" applyFill="1" applyBorder="1"/>
    <xf numFmtId="0" fontId="0" fillId="2" borderId="9" xfId="0" applyFill="1" applyBorder="1" applyAlignment="1">
      <alignment horizontal="center" wrapText="1"/>
    </xf>
    <xf numFmtId="44" fontId="0" fillId="2" borderId="9" xfId="2" applyFont="1" applyFill="1" applyBorder="1"/>
    <xf numFmtId="168" fontId="28" fillId="2" borderId="20" xfId="2" applyNumberFormat="1" applyFont="1" applyFill="1" applyBorder="1" applyProtection="1">
      <protection hidden="1"/>
    </xf>
    <xf numFmtId="168" fontId="28" fillId="2" borderId="26" xfId="2" applyNumberFormat="1" applyFont="1" applyFill="1" applyBorder="1" applyProtection="1">
      <protection hidden="1"/>
    </xf>
    <xf numFmtId="168" fontId="28" fillId="2" borderId="22" xfId="2" applyNumberFormat="1" applyFont="1" applyFill="1" applyBorder="1" applyProtection="1">
      <protection hidden="1"/>
    </xf>
    <xf numFmtId="0" fontId="0" fillId="2" borderId="27" xfId="0" applyFill="1" applyBorder="1" applyProtection="1">
      <protection hidden="1"/>
    </xf>
    <xf numFmtId="168" fontId="28" fillId="2" borderId="28" xfId="2" applyNumberFormat="1" applyFont="1" applyFill="1" applyBorder="1" applyProtection="1">
      <protection hidden="1"/>
    </xf>
    <xf numFmtId="168" fontId="28" fillId="2" borderId="27" xfId="2" applyNumberFormat="1" applyFill="1" applyBorder="1" applyProtection="1">
      <protection hidden="1"/>
    </xf>
    <xf numFmtId="168" fontId="28" fillId="2" borderId="29" xfId="2" applyNumberFormat="1" applyFill="1" applyBorder="1" applyProtection="1">
      <protection hidden="1"/>
    </xf>
    <xf numFmtId="0" fontId="0" fillId="2" borderId="30" xfId="0" applyFill="1" applyBorder="1" applyProtection="1">
      <protection hidden="1"/>
    </xf>
    <xf numFmtId="168" fontId="28" fillId="2" borderId="30" xfId="2" applyNumberFormat="1" applyFont="1" applyFill="1" applyBorder="1" applyProtection="1">
      <protection hidden="1"/>
    </xf>
    <xf numFmtId="168" fontId="28" fillId="2" borderId="30" xfId="2" applyNumberFormat="1" applyFill="1" applyBorder="1" applyProtection="1">
      <protection hidden="1"/>
    </xf>
    <xf numFmtId="168" fontId="28" fillId="2" borderId="31" xfId="2" applyNumberFormat="1" applyFill="1" applyBorder="1" applyProtection="1">
      <protection hidden="1"/>
    </xf>
    <xf numFmtId="0" fontId="0" fillId="2" borderId="32" xfId="0" applyFill="1" applyBorder="1" applyProtection="1">
      <protection hidden="1"/>
    </xf>
    <xf numFmtId="0" fontId="0" fillId="2" borderId="33" xfId="0" applyFill="1" applyBorder="1" applyProtection="1">
      <protection hidden="1"/>
    </xf>
    <xf numFmtId="0" fontId="0" fillId="2" borderId="34" xfId="0" applyFill="1" applyBorder="1" applyProtection="1">
      <protection hidden="1"/>
    </xf>
    <xf numFmtId="0" fontId="0" fillId="2" borderId="35" xfId="0" applyFill="1" applyBorder="1" applyProtection="1">
      <protection hidden="1"/>
    </xf>
    <xf numFmtId="0" fontId="0" fillId="2" borderId="36" xfId="0" applyFill="1" applyBorder="1" applyProtection="1">
      <protection hidden="1"/>
    </xf>
    <xf numFmtId="168" fontId="28" fillId="2" borderId="24" xfId="2" applyNumberFormat="1" applyFont="1" applyFill="1" applyBorder="1" applyProtection="1">
      <protection hidden="1"/>
    </xf>
    <xf numFmtId="0" fontId="0" fillId="2" borderId="26" xfId="0" applyFill="1" applyBorder="1" applyProtection="1">
      <protection hidden="1"/>
    </xf>
    <xf numFmtId="0" fontId="0" fillId="2" borderId="37" xfId="0" applyFill="1" applyBorder="1" applyProtection="1">
      <protection hidden="1"/>
    </xf>
    <xf numFmtId="0" fontId="0" fillId="2" borderId="38" xfId="0" applyFill="1" applyBorder="1" applyProtection="1">
      <protection hidden="1"/>
    </xf>
    <xf numFmtId="0" fontId="0" fillId="2" borderId="39" xfId="0" applyFill="1" applyBorder="1" applyProtection="1">
      <protection hidden="1"/>
    </xf>
    <xf numFmtId="167" fontId="28" fillId="2" borderId="37" xfId="2" applyNumberFormat="1" applyFill="1" applyBorder="1" applyProtection="1">
      <protection hidden="1"/>
    </xf>
    <xf numFmtId="8" fontId="28" fillId="3" borderId="0" xfId="2" applyNumberFormat="1" applyFill="1" applyProtection="1">
      <protection hidden="1"/>
    </xf>
    <xf numFmtId="0" fontId="28" fillId="2" borderId="0" xfId="0" applyFont="1" applyFill="1" applyProtection="1">
      <protection hidden="1"/>
    </xf>
    <xf numFmtId="0" fontId="28" fillId="2" borderId="0" xfId="0" applyFont="1" applyFill="1"/>
    <xf numFmtId="0" fontId="0" fillId="2" borderId="40" xfId="0" applyFill="1" applyBorder="1" applyProtection="1">
      <protection hidden="1"/>
    </xf>
    <xf numFmtId="167" fontId="28" fillId="2" borderId="30" xfId="2" applyNumberFormat="1" applyFill="1" applyBorder="1" applyProtection="1">
      <protection hidden="1"/>
    </xf>
    <xf numFmtId="0" fontId="0" fillId="2" borderId="41" xfId="0" applyFill="1" applyBorder="1" applyProtection="1">
      <protection hidden="1"/>
    </xf>
    <xf numFmtId="167" fontId="28" fillId="2" borderId="42" xfId="2" applyNumberFormat="1" applyFill="1" applyBorder="1" applyProtection="1">
      <protection hidden="1"/>
    </xf>
    <xf numFmtId="167" fontId="28" fillId="2" borderId="43" xfId="2" applyNumberFormat="1" applyFont="1" applyFill="1" applyBorder="1" applyProtection="1">
      <protection hidden="1"/>
    </xf>
    <xf numFmtId="167" fontId="28" fillId="2" borderId="43" xfId="2" applyNumberFormat="1" applyFill="1" applyBorder="1" applyProtection="1">
      <protection hidden="1"/>
    </xf>
    <xf numFmtId="167" fontId="28" fillId="2" borderId="44" xfId="2" applyNumberFormat="1" applyFill="1" applyBorder="1" applyProtection="1">
      <protection hidden="1"/>
    </xf>
    <xf numFmtId="167" fontId="28" fillId="2" borderId="45" xfId="2" applyNumberFormat="1" applyFill="1" applyBorder="1" applyProtection="1">
      <protection hidden="1"/>
    </xf>
    <xf numFmtId="0" fontId="0" fillId="2" borderId="46" xfId="0" applyFill="1" applyBorder="1" applyProtection="1">
      <protection hidden="1"/>
    </xf>
    <xf numFmtId="164" fontId="28" fillId="0" borderId="0" xfId="2" applyNumberFormat="1" applyFill="1" applyProtection="1">
      <protection hidden="1"/>
    </xf>
    <xf numFmtId="0" fontId="37" fillId="2" borderId="47" xfId="0" applyFont="1" applyFill="1" applyBorder="1" applyAlignment="1">
      <alignment horizontal="left"/>
    </xf>
    <xf numFmtId="0" fontId="0" fillId="2" borderId="47" xfId="0" applyFill="1" applyBorder="1"/>
    <xf numFmtId="44" fontId="0" fillId="2" borderId="47" xfId="2" applyFont="1" applyFill="1" applyBorder="1"/>
    <xf numFmtId="0" fontId="0" fillId="2" borderId="9" xfId="0" applyFill="1" applyBorder="1" applyAlignment="1">
      <alignment horizontal="left" indent="1"/>
    </xf>
    <xf numFmtId="0" fontId="0" fillId="2" borderId="9" xfId="0" applyFill="1" applyBorder="1" applyAlignment="1">
      <alignment horizontal="center"/>
    </xf>
    <xf numFmtId="0" fontId="38" fillId="2" borderId="5" xfId="0" applyFont="1" applyFill="1" applyBorder="1" applyAlignment="1">
      <alignment horizontal="left"/>
    </xf>
    <xf numFmtId="0" fontId="0" fillId="2" borderId="6" xfId="0" applyFill="1" applyBorder="1"/>
    <xf numFmtId="44" fontId="0" fillId="2" borderId="7" xfId="2" applyFont="1" applyFill="1" applyBorder="1"/>
    <xf numFmtId="0" fontId="0" fillId="6" borderId="0" xfId="0" applyFill="1"/>
    <xf numFmtId="0" fontId="0" fillId="7" borderId="68" xfId="0" applyFill="1" applyBorder="1"/>
    <xf numFmtId="0" fontId="30" fillId="7" borderId="69" xfId="0" applyFont="1" applyFill="1" applyBorder="1"/>
    <xf numFmtId="0" fontId="0" fillId="7" borderId="69" xfId="0" applyFill="1" applyBorder="1"/>
    <xf numFmtId="0" fontId="0" fillId="7" borderId="70" xfId="0" applyFill="1" applyBorder="1"/>
    <xf numFmtId="0" fontId="0" fillId="7" borderId="71" xfId="0" applyFill="1" applyBorder="1"/>
    <xf numFmtId="0" fontId="31" fillId="7" borderId="72" xfId="0" applyFont="1" applyFill="1" applyBorder="1" applyAlignment="1">
      <alignment horizontal="left" indent="2"/>
    </xf>
    <xf numFmtId="0" fontId="0" fillId="7" borderId="72" xfId="0" applyFill="1" applyBorder="1"/>
    <xf numFmtId="0" fontId="0" fillId="7" borderId="73" xfId="0" applyFill="1" applyBorder="1"/>
    <xf numFmtId="0" fontId="32" fillId="7" borderId="72" xfId="0" applyFont="1" applyFill="1" applyBorder="1" applyAlignment="1">
      <alignment horizontal="left" indent="2"/>
    </xf>
    <xf numFmtId="0" fontId="0" fillId="7" borderId="74" xfId="0" applyFill="1" applyBorder="1"/>
    <xf numFmtId="0" fontId="32" fillId="7" borderId="75" xfId="0" applyFont="1" applyFill="1" applyBorder="1" applyAlignment="1">
      <alignment horizontal="left" indent="2"/>
    </xf>
    <xf numFmtId="0" fontId="0" fillId="7" borderId="75" xfId="0" applyFill="1" applyBorder="1"/>
    <xf numFmtId="0" fontId="0" fillId="7" borderId="76" xfId="0" applyFill="1" applyBorder="1"/>
    <xf numFmtId="0" fontId="0" fillId="7" borderId="1" xfId="0" applyFill="1" applyBorder="1"/>
    <xf numFmtId="0" fontId="0" fillId="7" borderId="4" xfId="0" applyFill="1" applyBorder="1"/>
    <xf numFmtId="0" fontId="0" fillId="7" borderId="10" xfId="0" applyFill="1" applyBorder="1"/>
    <xf numFmtId="0" fontId="0" fillId="7" borderId="2" xfId="0" applyFill="1" applyBorder="1"/>
    <xf numFmtId="0" fontId="0" fillId="7" borderId="0" xfId="0" applyFill="1"/>
    <xf numFmtId="0" fontId="0" fillId="7" borderId="11" xfId="0" applyFill="1" applyBorder="1"/>
    <xf numFmtId="0" fontId="0" fillId="7" borderId="3" xfId="0" applyFill="1" applyBorder="1"/>
    <xf numFmtId="0" fontId="0" fillId="7" borderId="8" xfId="0" applyFill="1" applyBorder="1"/>
    <xf numFmtId="0" fontId="0" fillId="7" borderId="12" xfId="0" applyFill="1" applyBorder="1"/>
    <xf numFmtId="165" fontId="0" fillId="7" borderId="11" xfId="0" applyNumberFormat="1" applyFill="1" applyBorder="1"/>
    <xf numFmtId="0" fontId="40" fillId="8" borderId="9" xfId="0" applyFont="1" applyFill="1" applyBorder="1" applyAlignment="1">
      <alignment horizontal="center" wrapText="1"/>
    </xf>
    <xf numFmtId="0" fontId="40" fillId="8" borderId="9" xfId="0" applyFont="1" applyFill="1" applyBorder="1" applyAlignment="1">
      <alignment horizontal="center"/>
    </xf>
    <xf numFmtId="44" fontId="0" fillId="6" borderId="7" xfId="2" applyFont="1" applyFill="1" applyBorder="1" applyAlignment="1">
      <alignment horizontal="center"/>
    </xf>
    <xf numFmtId="164" fontId="0" fillId="6" borderId="7" xfId="2" applyNumberFormat="1" applyFont="1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39" fontId="0" fillId="6" borderId="9" xfId="1" applyNumberFormat="1" applyFont="1" applyFill="1" applyBorder="1" applyAlignment="1">
      <alignment horizontal="center"/>
    </xf>
    <xf numFmtId="44" fontId="0" fillId="6" borderId="9" xfId="2" applyFont="1" applyFill="1" applyBorder="1" applyAlignment="1">
      <alignment horizontal="center"/>
    </xf>
    <xf numFmtId="0" fontId="0" fillId="6" borderId="47" xfId="0" applyFill="1" applyBorder="1" applyAlignment="1">
      <alignment horizontal="left"/>
    </xf>
    <xf numFmtId="0" fontId="0" fillId="6" borderId="5" xfId="0" applyFill="1" applyBorder="1" applyAlignment="1">
      <alignment horizontal="left"/>
    </xf>
    <xf numFmtId="0" fontId="0" fillId="6" borderId="6" xfId="0" applyFill="1" applyBorder="1" applyAlignment="1">
      <alignment horizontal="left"/>
    </xf>
    <xf numFmtId="0" fontId="0" fillId="6" borderId="7" xfId="0" applyFill="1" applyBorder="1" applyAlignment="1">
      <alignment horizontal="left"/>
    </xf>
    <xf numFmtId="0" fontId="0" fillId="6" borderId="7" xfId="0" applyFill="1" applyBorder="1" applyAlignment="1">
      <alignment horizontal="center"/>
    </xf>
    <xf numFmtId="0" fontId="0" fillId="6" borderId="19" xfId="0" applyFill="1" applyBorder="1" applyAlignment="1">
      <alignment horizontal="left"/>
    </xf>
    <xf numFmtId="0" fontId="0" fillId="6" borderId="9" xfId="0" applyFill="1" applyBorder="1" applyAlignment="1">
      <alignment horizontal="left"/>
    </xf>
    <xf numFmtId="0" fontId="41" fillId="8" borderId="9" xfId="0" applyFont="1" applyFill="1" applyBorder="1" applyAlignment="1">
      <alignment horizontal="center" wrapText="1"/>
    </xf>
    <xf numFmtId="0" fontId="41" fillId="8" borderId="9" xfId="0" applyFont="1" applyFill="1" applyBorder="1" applyAlignment="1">
      <alignment horizontal="center"/>
    </xf>
    <xf numFmtId="0" fontId="35" fillId="7" borderId="13" xfId="0" applyFont="1" applyFill="1" applyBorder="1" applyAlignment="1">
      <alignment horizontal="left" vertical="top"/>
    </xf>
    <xf numFmtId="0" fontId="0" fillId="7" borderId="14" xfId="0" applyFill="1" applyBorder="1"/>
    <xf numFmtId="0" fontId="0" fillId="7" borderId="15" xfId="0" applyFill="1" applyBorder="1"/>
    <xf numFmtId="0" fontId="35" fillId="7" borderId="0" xfId="0" applyFont="1" applyFill="1" applyAlignment="1">
      <alignment horizontal="left"/>
    </xf>
    <xf numFmtId="0" fontId="0" fillId="7" borderId="0" xfId="0" applyFill="1" applyAlignment="1">
      <alignment horizontal="left"/>
    </xf>
    <xf numFmtId="0" fontId="0" fillId="7" borderId="0" xfId="0" applyFill="1" applyAlignment="1">
      <alignment horizontal="center"/>
    </xf>
    <xf numFmtId="166" fontId="0" fillId="7" borderId="0" xfId="1" applyNumberFormat="1" applyFont="1" applyFill="1" applyBorder="1" applyAlignment="1">
      <alignment horizontal="center"/>
    </xf>
    <xf numFmtId="167" fontId="0" fillId="7" borderId="0" xfId="2" applyNumberFormat="1" applyFont="1" applyFill="1" applyBorder="1" applyAlignment="1">
      <alignment horizontal="center"/>
    </xf>
    <xf numFmtId="0" fontId="42" fillId="7" borderId="16" xfId="0" applyFont="1" applyFill="1" applyBorder="1" applyAlignment="1">
      <alignment horizontal="center"/>
    </xf>
    <xf numFmtId="0" fontId="33" fillId="7" borderId="0" xfId="0" applyFont="1" applyFill="1"/>
    <xf numFmtId="0" fontId="33" fillId="7" borderId="8" xfId="0" applyFont="1" applyFill="1" applyBorder="1"/>
    <xf numFmtId="0" fontId="38" fillId="6" borderId="9" xfId="0" applyFont="1" applyFill="1" applyBorder="1" applyAlignment="1">
      <alignment horizontal="center"/>
    </xf>
    <xf numFmtId="14" fontId="0" fillId="2" borderId="0" xfId="0" applyNumberFormat="1" applyFill="1" applyProtection="1">
      <protection hidden="1"/>
    </xf>
    <xf numFmtId="167" fontId="0" fillId="3" borderId="0" xfId="0" applyNumberFormat="1" applyFill="1" applyAlignment="1" applyProtection="1">
      <alignment horizontal="right"/>
      <protection hidden="1"/>
    </xf>
    <xf numFmtId="168" fontId="0" fillId="3" borderId="0" xfId="0" applyNumberFormat="1" applyFill="1" applyAlignment="1" applyProtection="1">
      <alignment horizontal="right"/>
      <protection hidden="1"/>
    </xf>
    <xf numFmtId="0" fontId="38" fillId="6" borderId="5" xfId="0" applyFont="1" applyFill="1" applyBorder="1" applyAlignment="1">
      <alignment horizontal="left"/>
    </xf>
    <xf numFmtId="0" fontId="0" fillId="6" borderId="6" xfId="0" applyFill="1" applyBorder="1" applyAlignment="1">
      <alignment horizontal="left"/>
    </xf>
    <xf numFmtId="0" fontId="0" fillId="6" borderId="7" xfId="0" applyFill="1" applyBorder="1" applyAlignment="1">
      <alignment horizontal="left"/>
    </xf>
    <xf numFmtId="166" fontId="0" fillId="6" borderId="6" xfId="1" applyNumberFormat="1" applyFont="1" applyFill="1" applyBorder="1" applyAlignment="1">
      <alignment horizontal="center"/>
    </xf>
    <xf numFmtId="166" fontId="0" fillId="6" borderId="7" xfId="1" applyNumberFormat="1" applyFont="1" applyFill="1" applyBorder="1" applyAlignment="1">
      <alignment horizontal="center"/>
    </xf>
    <xf numFmtId="167" fontId="0" fillId="6" borderId="5" xfId="2" applyNumberFormat="1" applyFont="1" applyFill="1" applyBorder="1" applyAlignment="1">
      <alignment horizontal="center"/>
    </xf>
    <xf numFmtId="167" fontId="0" fillId="6" borderId="7" xfId="2" applyNumberFormat="1" applyFont="1" applyFill="1" applyBorder="1" applyAlignment="1">
      <alignment horizontal="center"/>
    </xf>
    <xf numFmtId="166" fontId="0" fillId="6" borderId="5" xfId="1" applyNumberFormat="1" applyFont="1" applyFill="1" applyBorder="1" applyAlignment="1">
      <alignment horizontal="center"/>
    </xf>
    <xf numFmtId="166" fontId="28" fillId="6" borderId="5" xfId="1" applyNumberFormat="1" applyFont="1" applyFill="1" applyBorder="1" applyAlignment="1">
      <alignment horizontal="center"/>
    </xf>
    <xf numFmtId="166" fontId="28" fillId="6" borderId="7" xfId="1" applyNumberFormat="1" applyFont="1" applyFill="1" applyBorder="1" applyAlignment="1">
      <alignment horizontal="center"/>
    </xf>
    <xf numFmtId="0" fontId="0" fillId="6" borderId="9" xfId="0" applyFill="1" applyBorder="1" applyAlignment="1">
      <alignment horizontal="left"/>
    </xf>
    <xf numFmtId="166" fontId="0" fillId="6" borderId="9" xfId="1" applyNumberFormat="1" applyFont="1" applyFill="1" applyBorder="1" applyAlignment="1">
      <alignment horizontal="center"/>
    </xf>
    <xf numFmtId="0" fontId="41" fillId="8" borderId="9" xfId="0" applyFont="1" applyFill="1" applyBorder="1" applyAlignment="1">
      <alignment horizontal="center" wrapText="1"/>
    </xf>
    <xf numFmtId="0" fontId="41" fillId="8" borderId="9" xfId="0" applyFont="1" applyFill="1" applyBorder="1" applyAlignment="1">
      <alignment horizontal="center"/>
    </xf>
    <xf numFmtId="0" fontId="41" fillId="8" borderId="48" xfId="0" applyFont="1" applyFill="1" applyBorder="1" applyAlignment="1">
      <alignment horizontal="center" wrapText="1"/>
    </xf>
    <xf numFmtId="0" fontId="41" fillId="8" borderId="49" xfId="0" applyFont="1" applyFill="1" applyBorder="1" applyAlignment="1">
      <alignment horizontal="center" wrapText="1"/>
    </xf>
    <xf numFmtId="0" fontId="41" fillId="8" borderId="50" xfId="0" applyFont="1" applyFill="1" applyBorder="1" applyAlignment="1">
      <alignment horizontal="center" wrapText="1"/>
    </xf>
    <xf numFmtId="0" fontId="41" fillId="8" borderId="51" xfId="0" applyFont="1" applyFill="1" applyBorder="1" applyAlignment="1">
      <alignment horizontal="center" wrapText="1"/>
    </xf>
    <xf numFmtId="0" fontId="41" fillId="8" borderId="52" xfId="0" applyFont="1" applyFill="1" applyBorder="1" applyAlignment="1">
      <alignment horizontal="center" wrapText="1"/>
    </xf>
    <xf numFmtId="0" fontId="41" fillId="8" borderId="53" xfId="0" applyFont="1" applyFill="1" applyBorder="1" applyAlignment="1">
      <alignment horizontal="center" wrapText="1"/>
    </xf>
    <xf numFmtId="0" fontId="39" fillId="8" borderId="5" xfId="0" applyFont="1" applyFill="1" applyBorder="1" applyAlignment="1">
      <alignment horizontal="left" indent="1"/>
    </xf>
    <xf numFmtId="0" fontId="39" fillId="8" borderId="6" xfId="0" applyFont="1" applyFill="1" applyBorder="1" applyAlignment="1">
      <alignment horizontal="left" indent="1"/>
    </xf>
    <xf numFmtId="0" fontId="39" fillId="8" borderId="7" xfId="0" applyFont="1" applyFill="1" applyBorder="1" applyAlignment="1">
      <alignment horizontal="left" indent="1"/>
    </xf>
    <xf numFmtId="0" fontId="34" fillId="7" borderId="0" xfId="0" applyFont="1" applyFill="1" applyAlignment="1">
      <alignment horizontal="center" wrapText="1"/>
    </xf>
    <xf numFmtId="0" fontId="0" fillId="6" borderId="5" xfId="0" applyFill="1" applyBorder="1" applyAlignment="1">
      <alignment horizontal="left"/>
    </xf>
    <xf numFmtId="0" fontId="0" fillId="6" borderId="7" xfId="0" applyFill="1" applyBorder="1" applyAlignment="1">
      <alignment horizontal="center"/>
    </xf>
    <xf numFmtId="0" fontId="29" fillId="3" borderId="0" xfId="0" applyFont="1" applyFill="1" applyAlignment="1" applyProtection="1">
      <alignment horizontal="center"/>
      <protection hidden="1"/>
    </xf>
    <xf numFmtId="0" fontId="31" fillId="2" borderId="61" xfId="0" applyFont="1" applyFill="1" applyBorder="1" applyAlignment="1" applyProtection="1">
      <alignment horizontal="center"/>
      <protection hidden="1"/>
    </xf>
    <xf numFmtId="0" fontId="31" fillId="2" borderId="62" xfId="0" applyFont="1" applyFill="1" applyBorder="1" applyAlignment="1" applyProtection="1">
      <alignment horizontal="center"/>
      <protection hidden="1"/>
    </xf>
    <xf numFmtId="0" fontId="31" fillId="2" borderId="63" xfId="0" applyFont="1" applyFill="1" applyBorder="1" applyAlignment="1" applyProtection="1">
      <alignment horizontal="center"/>
      <protection hidden="1"/>
    </xf>
    <xf numFmtId="0" fontId="0" fillId="3" borderId="48" xfId="0" applyFill="1" applyBorder="1" applyAlignment="1" applyProtection="1">
      <alignment horizontal="left"/>
      <protection hidden="1"/>
    </xf>
    <xf numFmtId="0" fontId="0" fillId="3" borderId="49" xfId="0" applyFill="1" applyBorder="1" applyAlignment="1" applyProtection="1">
      <alignment horizontal="left"/>
      <protection hidden="1"/>
    </xf>
    <xf numFmtId="0" fontId="0" fillId="3" borderId="16" xfId="0" applyFill="1" applyBorder="1" applyAlignment="1" applyProtection="1">
      <alignment horizontal="left"/>
      <protection hidden="1"/>
    </xf>
    <xf numFmtId="0" fontId="0" fillId="3" borderId="0" xfId="0" applyFill="1" applyAlignment="1" applyProtection="1">
      <alignment horizontal="left"/>
      <protection hidden="1"/>
    </xf>
    <xf numFmtId="0" fontId="0" fillId="3" borderId="51" xfId="0" applyFill="1" applyBorder="1" applyAlignment="1" applyProtection="1">
      <alignment horizontal="left"/>
      <protection hidden="1"/>
    </xf>
    <xf numFmtId="0" fontId="0" fillId="3" borderId="52" xfId="0" applyFill="1" applyBorder="1" applyAlignment="1" applyProtection="1">
      <alignment horizontal="left"/>
      <protection hidden="1"/>
    </xf>
    <xf numFmtId="0" fontId="0" fillId="2" borderId="54" xfId="0" applyFill="1" applyBorder="1" applyAlignment="1" applyProtection="1">
      <alignment horizontal="center" vertical="center" textRotation="255"/>
      <protection hidden="1"/>
    </xf>
    <xf numFmtId="0" fontId="0" fillId="2" borderId="55" xfId="0" applyFill="1" applyBorder="1" applyAlignment="1" applyProtection="1">
      <alignment horizontal="center" vertical="center" textRotation="255"/>
      <protection hidden="1"/>
    </xf>
    <xf numFmtId="0" fontId="0" fillId="2" borderId="56" xfId="0" applyFill="1" applyBorder="1" applyAlignment="1" applyProtection="1">
      <alignment horizontal="center" vertical="center" textRotation="255"/>
      <protection hidden="1"/>
    </xf>
    <xf numFmtId="0" fontId="0" fillId="2" borderId="57" xfId="0" applyFill="1" applyBorder="1" applyAlignment="1" applyProtection="1">
      <alignment horizontal="center" vertical="center" textRotation="255"/>
      <protection hidden="1"/>
    </xf>
    <xf numFmtId="0" fontId="0" fillId="2" borderId="58" xfId="0" applyFill="1" applyBorder="1" applyAlignment="1" applyProtection="1">
      <alignment horizontal="center" vertical="center" textRotation="255"/>
      <protection hidden="1"/>
    </xf>
    <xf numFmtId="0" fontId="0" fillId="2" borderId="59" xfId="0" applyFill="1" applyBorder="1" applyAlignment="1" applyProtection="1">
      <alignment horizontal="center" vertical="center" textRotation="255"/>
      <protection hidden="1"/>
    </xf>
    <xf numFmtId="0" fontId="0" fillId="2" borderId="60" xfId="0" applyFill="1" applyBorder="1" applyAlignment="1" applyProtection="1">
      <alignment horizontal="center" vertical="center" textRotation="255"/>
      <protection hidden="1"/>
    </xf>
    <xf numFmtId="0" fontId="32" fillId="2" borderId="47" xfId="0" applyFont="1" applyFill="1" applyBorder="1" applyAlignment="1" applyProtection="1">
      <alignment horizontal="center" vertical="center" textRotation="255"/>
      <protection hidden="1"/>
    </xf>
    <xf numFmtId="0" fontId="32" fillId="2" borderId="64" xfId="0" applyFont="1" applyFill="1" applyBorder="1" applyAlignment="1" applyProtection="1">
      <alignment horizontal="center" vertical="center" textRotation="255"/>
      <protection hidden="1"/>
    </xf>
    <xf numFmtId="0" fontId="0" fillId="0" borderId="64" xfId="0" applyBorder="1"/>
    <xf numFmtId="0" fontId="0" fillId="0" borderId="19" xfId="0" applyBorder="1"/>
    <xf numFmtId="0" fontId="32" fillId="2" borderId="65" xfId="0" applyFont="1" applyFill="1" applyBorder="1" applyAlignment="1" applyProtection="1">
      <alignment horizontal="center" vertical="center" textRotation="255"/>
      <protection hidden="1"/>
    </xf>
    <xf numFmtId="0" fontId="32" fillId="2" borderId="66" xfId="0" applyFont="1" applyFill="1" applyBorder="1" applyAlignment="1" applyProtection="1">
      <alignment horizontal="center" vertical="center" textRotation="255"/>
      <protection hidden="1"/>
    </xf>
    <xf numFmtId="0" fontId="32" fillId="2" borderId="67" xfId="0" applyFont="1" applyFill="1" applyBorder="1" applyAlignment="1" applyProtection="1">
      <alignment horizontal="center" vertical="center" textRotation="255"/>
      <protection hidden="1"/>
    </xf>
    <xf numFmtId="0" fontId="31" fillId="2" borderId="61" xfId="0" applyFont="1" applyFill="1" applyBorder="1" applyAlignment="1" applyProtection="1">
      <alignment horizontal="center" wrapText="1"/>
      <protection hidden="1"/>
    </xf>
    <xf numFmtId="0" fontId="31" fillId="2" borderId="62" xfId="0" applyFont="1" applyFill="1" applyBorder="1" applyAlignment="1" applyProtection="1">
      <alignment horizontal="center" wrapText="1"/>
      <protection hidden="1"/>
    </xf>
    <xf numFmtId="0" fontId="31" fillId="2" borderId="63" xfId="0" applyFont="1" applyFill="1" applyBorder="1" applyAlignment="1" applyProtection="1">
      <alignment horizontal="center" wrapText="1"/>
      <protection hidden="1"/>
    </xf>
    <xf numFmtId="0" fontId="31" fillId="2" borderId="0" xfId="0" applyFont="1" applyFill="1" applyAlignment="1">
      <alignment horizontal="center"/>
    </xf>
  </cellXfs>
  <cellStyles count="518">
    <cellStyle name="Comma" xfId="1" builtinId="3"/>
    <cellStyle name="Comma 2" xfId="5" xr:uid="{00000000-0005-0000-0000-000001000000}"/>
    <cellStyle name="Comma 2 2" xfId="112" xr:uid="{E510FB0E-4CBE-4ACF-8C99-55EF16CDAFA0}"/>
    <cellStyle name="Comma 3" xfId="109" xr:uid="{9D09CD1C-8FD8-4D39-8703-C0636AE7C8EC}"/>
    <cellStyle name="Currency" xfId="2" builtinId="4"/>
    <cellStyle name="Currency 10" xfId="315" xr:uid="{A578B946-3220-4315-BF57-0A92178F8FA3}"/>
    <cellStyle name="Currency 11" xfId="417" xr:uid="{731D9EE6-3AA6-4C93-97E6-59D560F400B3}"/>
    <cellStyle name="Currency 2" xfId="23" xr:uid="{00000000-0005-0000-0000-000003000000}"/>
    <cellStyle name="Currency 2 2" xfId="47" xr:uid="{00000000-0005-0000-0000-000004000000}"/>
    <cellStyle name="Currency 2 2 2" xfId="97" xr:uid="{00000000-0005-0000-0000-000005000000}"/>
    <cellStyle name="Currency 2 2 2 2" xfId="203" xr:uid="{E078CE9E-0656-49B6-B680-94412C040DDE}"/>
    <cellStyle name="Currency 2 2 2 3" xfId="305" xr:uid="{E34093B2-775F-44E7-B52B-0CDB823530C0}"/>
    <cellStyle name="Currency 2 2 2 4" xfId="407" xr:uid="{863DDE8B-372C-42F4-9D17-895979A33E99}"/>
    <cellStyle name="Currency 2 2 2 5" xfId="509" xr:uid="{4F02FE01-2D0E-49F0-9399-558AB4BBE9B5}"/>
    <cellStyle name="Currency 2 2 3" xfId="153" xr:uid="{15DD23F6-E60A-4010-981A-773CB8E114D6}"/>
    <cellStyle name="Currency 2 2 4" xfId="255" xr:uid="{F97E174E-9A9F-4234-9733-C89676B20A03}"/>
    <cellStyle name="Currency 2 2 5" xfId="357" xr:uid="{C8383257-DE29-4BE3-9CD2-1D6C910844B1}"/>
    <cellStyle name="Currency 2 2 6" xfId="459" xr:uid="{0B4891DF-193F-4A97-8386-B0AA3C59B893}"/>
    <cellStyle name="Currency 2 3" xfId="73" xr:uid="{00000000-0005-0000-0000-000006000000}"/>
    <cellStyle name="Currency 2 3 2" xfId="179" xr:uid="{BBF6E6AD-D2B1-4F4A-9690-656C8C81E464}"/>
    <cellStyle name="Currency 2 3 3" xfId="281" xr:uid="{2BA1B2FC-596D-4AC0-9097-12EC17B7963A}"/>
    <cellStyle name="Currency 2 3 4" xfId="383" xr:uid="{A23E8EE0-AC2D-441D-881F-1E2372D8208E}"/>
    <cellStyle name="Currency 2 3 5" xfId="485" xr:uid="{870E929B-566D-4B03-A05B-DB9B73FE3FBE}"/>
    <cellStyle name="Currency 2 4" xfId="129" xr:uid="{E87A8988-789D-49FB-95AE-8CBE8C434705}"/>
    <cellStyle name="Currency 2 5" xfId="231" xr:uid="{F2ED7CE4-2A72-4C85-9D55-3D35D7F85448}"/>
    <cellStyle name="Currency 2 6" xfId="333" xr:uid="{BECB23E8-782B-4B0E-8F79-8637CCA59EA4}"/>
    <cellStyle name="Currency 2 7" xfId="435" xr:uid="{00B1D9F8-C96F-4735-9A39-8937FA12FCAE}"/>
    <cellStyle name="Currency 3" xfId="25" xr:uid="{00000000-0005-0000-0000-000007000000}"/>
    <cellStyle name="Currency 3 2" xfId="49" xr:uid="{00000000-0005-0000-0000-000008000000}"/>
    <cellStyle name="Currency 3 2 2" xfId="99" xr:uid="{00000000-0005-0000-0000-000009000000}"/>
    <cellStyle name="Currency 3 2 2 2" xfId="205" xr:uid="{EE8B081C-CB7C-4143-8671-13EAB550809E}"/>
    <cellStyle name="Currency 3 2 2 3" xfId="307" xr:uid="{AB7A7E5B-F048-412C-9631-6E181AB007C0}"/>
    <cellStyle name="Currency 3 2 2 4" xfId="409" xr:uid="{4E045B58-C384-4945-8F32-E35F236E16F9}"/>
    <cellStyle name="Currency 3 2 2 5" xfId="511" xr:uid="{F96C2CC0-7859-44DA-B6F3-E89C1E434E59}"/>
    <cellStyle name="Currency 3 2 3" xfId="155" xr:uid="{1E8F86FC-8B06-4221-B912-74E470F9C3A6}"/>
    <cellStyle name="Currency 3 2 4" xfId="257" xr:uid="{913F5124-D3C9-43AC-9B43-D5EE59CAD411}"/>
    <cellStyle name="Currency 3 2 5" xfId="359" xr:uid="{F3770E69-C3AE-498A-9B88-87DAA36572C3}"/>
    <cellStyle name="Currency 3 2 6" xfId="461" xr:uid="{ABF3A847-02C0-4E75-A305-5F9FD52AB2C3}"/>
    <cellStyle name="Currency 3 3" xfId="75" xr:uid="{00000000-0005-0000-0000-00000A000000}"/>
    <cellStyle name="Currency 3 3 2" xfId="181" xr:uid="{291775D9-31DD-4235-92B9-C37872D98060}"/>
    <cellStyle name="Currency 3 3 3" xfId="283" xr:uid="{A8C3BFE7-F6AE-4472-A1CA-D0189ADE6C22}"/>
    <cellStyle name="Currency 3 3 4" xfId="385" xr:uid="{0922B2D4-9D5C-465F-AA93-7F668B576C4C}"/>
    <cellStyle name="Currency 3 3 5" xfId="487" xr:uid="{D6BD87B4-930C-463B-8A32-5DCF943D66D3}"/>
    <cellStyle name="Currency 3 4" xfId="131" xr:uid="{F7ADF02C-C8E7-4292-A167-D3F9C0F3875A}"/>
    <cellStyle name="Currency 3 5" xfId="233" xr:uid="{C46F7199-A4DB-4D7B-AB28-81975242ED2D}"/>
    <cellStyle name="Currency 3 6" xfId="335" xr:uid="{7706BF4A-FFEB-48FC-8884-FD806618F242}"/>
    <cellStyle name="Currency 3 7" xfId="437" xr:uid="{3442A271-AF9A-4D45-B562-894A54D680EA}"/>
    <cellStyle name="Currency 4" xfId="27" xr:uid="{00000000-0005-0000-0000-00000B000000}"/>
    <cellStyle name="Currency 4 2" xfId="51" xr:uid="{00000000-0005-0000-0000-00000C000000}"/>
    <cellStyle name="Currency 4 2 2" xfId="101" xr:uid="{00000000-0005-0000-0000-00000D000000}"/>
    <cellStyle name="Currency 4 2 2 2" xfId="207" xr:uid="{2B978F54-F41F-45D7-9ED4-C89349DF52A5}"/>
    <cellStyle name="Currency 4 2 2 3" xfId="309" xr:uid="{0ABE56BE-5FB7-47C6-BBB5-ADD031D0F13D}"/>
    <cellStyle name="Currency 4 2 2 4" xfId="411" xr:uid="{2D902066-638E-4BF8-B2D0-8A59C49E943A}"/>
    <cellStyle name="Currency 4 2 2 5" xfId="513" xr:uid="{87676A1F-E23F-43B5-8802-2F8636CA6951}"/>
    <cellStyle name="Currency 4 2 3" xfId="157" xr:uid="{DEA26375-8103-4A87-B611-03DFE1DBBB98}"/>
    <cellStyle name="Currency 4 2 4" xfId="259" xr:uid="{934203BD-1126-4084-A66A-3DD19B9F68AA}"/>
    <cellStyle name="Currency 4 2 5" xfId="361" xr:uid="{3F1BC926-68BE-4257-9DF2-7FCE5F9A8847}"/>
    <cellStyle name="Currency 4 2 6" xfId="463" xr:uid="{453E68AF-973E-4EA0-B97E-05BE4628DC81}"/>
    <cellStyle name="Currency 4 3" xfId="77" xr:uid="{00000000-0005-0000-0000-00000E000000}"/>
    <cellStyle name="Currency 4 3 2" xfId="183" xr:uid="{83C3A814-D3DC-443C-A45B-7A476BFBCA4D}"/>
    <cellStyle name="Currency 4 3 3" xfId="285" xr:uid="{7518893F-62B8-49E1-83FA-41EEE676261F}"/>
    <cellStyle name="Currency 4 3 4" xfId="387" xr:uid="{2E929455-91CA-4A05-9C1E-FD2AE6F7B306}"/>
    <cellStyle name="Currency 4 3 5" xfId="489" xr:uid="{30F9FB93-59F7-4F87-956C-F2DE316BAFA2}"/>
    <cellStyle name="Currency 4 4" xfId="133" xr:uid="{BA028DE2-1D98-4F59-8A12-3745B849AA2A}"/>
    <cellStyle name="Currency 4 5" xfId="235" xr:uid="{C415ED36-078E-4651-8435-4BE8B139F0F0}"/>
    <cellStyle name="Currency 4 6" xfId="337" xr:uid="{F914B221-96B3-4089-B24F-63808A3FB6CB}"/>
    <cellStyle name="Currency 4 7" xfId="439" xr:uid="{D3B5365A-8C29-43E5-8F4B-00F839170F47}"/>
    <cellStyle name="Currency 5" xfId="29" xr:uid="{00000000-0005-0000-0000-00000F000000}"/>
    <cellStyle name="Currency 5 2" xfId="53" xr:uid="{00000000-0005-0000-0000-000010000000}"/>
    <cellStyle name="Currency 5 2 2" xfId="103" xr:uid="{00000000-0005-0000-0000-000011000000}"/>
    <cellStyle name="Currency 5 2 2 2" xfId="209" xr:uid="{BC277562-D2F1-4BE3-BE2F-BD55CE9C289C}"/>
    <cellStyle name="Currency 5 2 2 3" xfId="311" xr:uid="{D4A09263-AED8-47D7-83F2-4D2EC164BE55}"/>
    <cellStyle name="Currency 5 2 2 4" xfId="413" xr:uid="{2BB665FC-0B5A-4CF7-A94F-F16FB3DC97FF}"/>
    <cellStyle name="Currency 5 2 2 5" xfId="515" xr:uid="{7A5B3B6E-E64D-4794-B3FA-11D06F82916E}"/>
    <cellStyle name="Currency 5 2 3" xfId="159" xr:uid="{8AB35F68-2BC0-4DE1-A59C-9BC5D6D5A72B}"/>
    <cellStyle name="Currency 5 2 4" xfId="261" xr:uid="{E16F648A-8FD0-4104-9640-C5A0912D6692}"/>
    <cellStyle name="Currency 5 2 5" xfId="363" xr:uid="{19994161-B410-4009-92DC-6782DDE6F953}"/>
    <cellStyle name="Currency 5 2 6" xfId="465" xr:uid="{D561C9A5-04AE-4AC8-86E2-C2F0FB75DAE9}"/>
    <cellStyle name="Currency 5 3" xfId="79" xr:uid="{00000000-0005-0000-0000-000012000000}"/>
    <cellStyle name="Currency 5 3 2" xfId="185" xr:uid="{DDEDA292-56BE-4E84-BD07-E8F63801E0B9}"/>
    <cellStyle name="Currency 5 3 3" xfId="287" xr:uid="{4EAC0A74-188E-4ED4-A68D-E26453EED07A}"/>
    <cellStyle name="Currency 5 3 4" xfId="389" xr:uid="{05E05224-2DCD-47B3-9E71-5505E221CDF1}"/>
    <cellStyle name="Currency 5 3 5" xfId="491" xr:uid="{AE346BC7-C2DF-491A-A1C5-BEFB1F516551}"/>
    <cellStyle name="Currency 5 4" xfId="135" xr:uid="{05493DE5-F0D5-4B86-9E2C-C38B8F9BC62C}"/>
    <cellStyle name="Currency 5 5" xfId="237" xr:uid="{F64EDE15-6096-4708-B41F-6A64EFE060D4}"/>
    <cellStyle name="Currency 5 6" xfId="339" xr:uid="{EE053061-F27A-4A60-BBAA-48FFAE5C8683}"/>
    <cellStyle name="Currency 5 7" xfId="441" xr:uid="{DADB3720-EC75-403F-B885-5200E3E5CCC5}"/>
    <cellStyle name="Currency 6" xfId="55" xr:uid="{00000000-0005-0000-0000-000013000000}"/>
    <cellStyle name="Currency 6 2" xfId="105" xr:uid="{00000000-0005-0000-0000-000014000000}"/>
    <cellStyle name="Currency 6 2 2" xfId="211" xr:uid="{65757FC6-F71D-4847-839B-610B6A861546}"/>
    <cellStyle name="Currency 6 2 3" xfId="313" xr:uid="{05AB71E2-2A7B-4DD5-9652-203E85D19148}"/>
    <cellStyle name="Currency 6 2 4" xfId="415" xr:uid="{D366A860-AE20-49B7-9627-CB2889FCD95E}"/>
    <cellStyle name="Currency 6 2 5" xfId="517" xr:uid="{727DEDF8-66C9-4E5D-B74C-2548182D4B22}"/>
    <cellStyle name="Currency 6 3" xfId="161" xr:uid="{BA3FBA40-2D24-42CB-BCFD-901EBE4A0074}"/>
    <cellStyle name="Currency 6 4" xfId="263" xr:uid="{ECCA3785-F63F-4F66-8ABA-587A1BBF9648}"/>
    <cellStyle name="Currency 6 5" xfId="365" xr:uid="{CC9FCA23-5746-427A-AE77-7DFCD1655F09}"/>
    <cellStyle name="Currency 6 6" xfId="467" xr:uid="{DD5624ED-C0C9-4983-A7C4-7A9A1E8EEC27}"/>
    <cellStyle name="Currency 7" xfId="110" xr:uid="{1F7EADF4-0F91-4645-9CAA-63AE961C9466}"/>
    <cellStyle name="Currency 8" xfId="107" xr:uid="{4B60D795-3E21-48DD-A477-F017CC872E00}"/>
    <cellStyle name="Currency 9" xfId="213" xr:uid="{B89A7AD8-128C-46DF-991D-7C5C09C7C34E}"/>
    <cellStyle name="Normal" xfId="0" builtinId="0"/>
    <cellStyle name="Normal 10" xfId="13" xr:uid="{00000000-0005-0000-0000-000016000000}"/>
    <cellStyle name="Normal 10 2" xfId="37" xr:uid="{00000000-0005-0000-0000-000017000000}"/>
    <cellStyle name="Normal 10 2 2" xfId="87" xr:uid="{00000000-0005-0000-0000-000018000000}"/>
    <cellStyle name="Normal 10 2 2 2" xfId="193" xr:uid="{412D696D-813A-4C2B-9B39-CEB34E033BA0}"/>
    <cellStyle name="Normal 10 2 2 3" xfId="295" xr:uid="{63E32A05-7E08-4F09-B372-595ED32FD726}"/>
    <cellStyle name="Normal 10 2 2 4" xfId="397" xr:uid="{FC6D75E2-2863-4DD5-AD5D-F6F6BD3B37D4}"/>
    <cellStyle name="Normal 10 2 2 5" xfId="499" xr:uid="{7FA7E6E4-1CF1-4932-921D-FFF16402A473}"/>
    <cellStyle name="Normal 10 2 3" xfId="143" xr:uid="{2511AB5E-BF7E-4B1C-86B1-5FDD8D39F0F4}"/>
    <cellStyle name="Normal 10 2 4" xfId="245" xr:uid="{82339D87-0BD1-4293-8EEA-03957DE530DD}"/>
    <cellStyle name="Normal 10 2 5" xfId="347" xr:uid="{EDFC864C-B696-4F4E-B4EE-C1777D341766}"/>
    <cellStyle name="Normal 10 2 6" xfId="449" xr:uid="{1DD0BF02-317A-4F3B-9E49-C94F5122E89C}"/>
    <cellStyle name="Normal 10 3" xfId="63" xr:uid="{00000000-0005-0000-0000-000019000000}"/>
    <cellStyle name="Normal 10 3 2" xfId="169" xr:uid="{69465526-5E03-4CF9-A80A-6CAB5A65AE16}"/>
    <cellStyle name="Normal 10 3 3" xfId="271" xr:uid="{E7DA1276-0EBE-4B57-ADDF-A52512167FCF}"/>
    <cellStyle name="Normal 10 3 4" xfId="373" xr:uid="{0CBD71AE-337C-4D91-A63D-0D89CF20C8BD}"/>
    <cellStyle name="Normal 10 3 5" xfId="475" xr:uid="{DB161C86-FDE2-4DBE-913D-3B634735F51F}"/>
    <cellStyle name="Normal 10 4" xfId="119" xr:uid="{80875FEB-D3C0-4A72-92B9-607F2E606943}"/>
    <cellStyle name="Normal 10 5" xfId="221" xr:uid="{C29162D8-24BF-4C4D-85FF-8AD7F2A27F74}"/>
    <cellStyle name="Normal 10 6" xfId="323" xr:uid="{AFA5BF33-9F85-4C3D-89F9-BE5C84A6042A}"/>
    <cellStyle name="Normal 10 7" xfId="425" xr:uid="{7D2AB2C7-BCEC-47D2-B52E-58BFDEDFC300}"/>
    <cellStyle name="Normal 11" xfId="14" xr:uid="{00000000-0005-0000-0000-00001A000000}"/>
    <cellStyle name="Normal 11 2" xfId="38" xr:uid="{00000000-0005-0000-0000-00001B000000}"/>
    <cellStyle name="Normal 11 2 2" xfId="88" xr:uid="{00000000-0005-0000-0000-00001C000000}"/>
    <cellStyle name="Normal 11 2 2 2" xfId="194" xr:uid="{0F1C91E9-42B1-41B7-8AA0-CC472D5FC727}"/>
    <cellStyle name="Normal 11 2 2 3" xfId="296" xr:uid="{FE8533B7-F9D3-4EE9-A2CB-056720937D80}"/>
    <cellStyle name="Normal 11 2 2 4" xfId="398" xr:uid="{CC0B8E4F-E3F9-418B-9EBF-F9970AA5F460}"/>
    <cellStyle name="Normal 11 2 2 5" xfId="500" xr:uid="{A05AA2E5-4B09-4983-9E18-D3C82159C0C6}"/>
    <cellStyle name="Normal 11 2 3" xfId="144" xr:uid="{88EF14C3-55F9-46F6-8FA8-AE4158307102}"/>
    <cellStyle name="Normal 11 2 4" xfId="246" xr:uid="{2BA9E188-3A41-49C9-B318-D11269990449}"/>
    <cellStyle name="Normal 11 2 5" xfId="348" xr:uid="{99057A88-23C1-4B5E-AF86-7E172235A349}"/>
    <cellStyle name="Normal 11 2 6" xfId="450" xr:uid="{200A9AC1-031E-4914-A896-3B5D5AADCE4E}"/>
    <cellStyle name="Normal 11 3" xfId="64" xr:uid="{00000000-0005-0000-0000-00001D000000}"/>
    <cellStyle name="Normal 11 3 2" xfId="170" xr:uid="{D3A71309-1A09-4579-B1FE-95AFC61E43FF}"/>
    <cellStyle name="Normal 11 3 3" xfId="272" xr:uid="{33B4536B-8D06-4259-B191-A4B35ED0A6A9}"/>
    <cellStyle name="Normal 11 3 4" xfId="374" xr:uid="{F1A9E536-5113-4C97-AFA4-676DC915A107}"/>
    <cellStyle name="Normal 11 3 5" xfId="476" xr:uid="{3F76393F-90D9-4030-9442-F80BC4CAE25E}"/>
    <cellStyle name="Normal 11 4" xfId="120" xr:uid="{D1352121-3969-4EFB-81FC-EFAEC2CA871C}"/>
    <cellStyle name="Normal 11 5" xfId="222" xr:uid="{1FB66818-8406-4B86-9B0A-DD25CBD1C28E}"/>
    <cellStyle name="Normal 11 6" xfId="324" xr:uid="{58AF3220-9CF7-4076-8965-35A9832B8CB3}"/>
    <cellStyle name="Normal 11 7" xfId="426" xr:uid="{F836FA40-7ED1-4094-B5B4-73C50C85A333}"/>
    <cellStyle name="Normal 12" xfId="15" xr:uid="{00000000-0005-0000-0000-00001E000000}"/>
    <cellStyle name="Normal 12 2" xfId="39" xr:uid="{00000000-0005-0000-0000-00001F000000}"/>
    <cellStyle name="Normal 12 2 2" xfId="89" xr:uid="{00000000-0005-0000-0000-000020000000}"/>
    <cellStyle name="Normal 12 2 2 2" xfId="195" xr:uid="{C2CD08CF-4CB8-4A5A-9ACA-441D694F4F2A}"/>
    <cellStyle name="Normal 12 2 2 3" xfId="297" xr:uid="{D64EFDDE-4418-4F85-96B4-62A8CFD66991}"/>
    <cellStyle name="Normal 12 2 2 4" xfId="399" xr:uid="{2C63E1E5-42AD-4297-A59F-4E7991B70364}"/>
    <cellStyle name="Normal 12 2 2 5" xfId="501" xr:uid="{1CE3F205-9EC3-475E-A155-7DB2E262BAED}"/>
    <cellStyle name="Normal 12 2 3" xfId="145" xr:uid="{D981E18D-80C2-445B-93E2-C7F4174F8ED0}"/>
    <cellStyle name="Normal 12 2 4" xfId="247" xr:uid="{3ACD969D-C4D6-4DE4-BA07-32CE25041E58}"/>
    <cellStyle name="Normal 12 2 5" xfId="349" xr:uid="{9D4FD97C-E14B-4E8D-B89F-427807613417}"/>
    <cellStyle name="Normal 12 2 6" xfId="451" xr:uid="{EE035B28-F78F-4ED1-8002-C521C2ECC938}"/>
    <cellStyle name="Normal 12 3" xfId="65" xr:uid="{00000000-0005-0000-0000-000021000000}"/>
    <cellStyle name="Normal 12 3 2" xfId="171" xr:uid="{A1201515-4BC5-49D1-AFC3-1C6D160A120D}"/>
    <cellStyle name="Normal 12 3 3" xfId="273" xr:uid="{6D4013F3-C114-4819-B7CF-A0C664095E22}"/>
    <cellStyle name="Normal 12 3 4" xfId="375" xr:uid="{C7EF93B6-3E7C-416F-BA37-EFE2C55A134F}"/>
    <cellStyle name="Normal 12 3 5" xfId="477" xr:uid="{516F08B3-7DCB-4D18-A3E8-02F9652CF72B}"/>
    <cellStyle name="Normal 12 4" xfId="121" xr:uid="{669C67DA-772B-434E-A21B-6AED5C3F5CBB}"/>
    <cellStyle name="Normal 12 5" xfId="223" xr:uid="{8D52523B-CCFB-4CF2-8B29-0F36BE4DB257}"/>
    <cellStyle name="Normal 12 6" xfId="325" xr:uid="{7D65FB3C-4320-4DF0-861F-BF4368A4A045}"/>
    <cellStyle name="Normal 12 7" xfId="427" xr:uid="{D143EC6C-9ED5-457E-B0BD-E560C2D9AB82}"/>
    <cellStyle name="Normal 13" xfId="16" xr:uid="{00000000-0005-0000-0000-000022000000}"/>
    <cellStyle name="Normal 13 2" xfId="40" xr:uid="{00000000-0005-0000-0000-000023000000}"/>
    <cellStyle name="Normal 13 2 2" xfId="90" xr:uid="{00000000-0005-0000-0000-000024000000}"/>
    <cellStyle name="Normal 13 2 2 2" xfId="196" xr:uid="{7A5E0B3B-FD91-40A0-95FD-CAE8706D7D44}"/>
    <cellStyle name="Normal 13 2 2 3" xfId="298" xr:uid="{B734A2C8-E444-406E-8202-D238DB0C1E89}"/>
    <cellStyle name="Normal 13 2 2 4" xfId="400" xr:uid="{58179707-4B2F-406F-8EA8-B1F983FC1EE1}"/>
    <cellStyle name="Normal 13 2 2 5" xfId="502" xr:uid="{9A76CA3D-3682-44CB-B757-57A217EFE1ED}"/>
    <cellStyle name="Normal 13 2 3" xfId="146" xr:uid="{6B6F6AC3-3067-44D5-90F8-46575D94BDEC}"/>
    <cellStyle name="Normal 13 2 4" xfId="248" xr:uid="{53C031C3-9F7A-424C-912D-E561F7BA6DA5}"/>
    <cellStyle name="Normal 13 2 5" xfId="350" xr:uid="{072E7CFD-F036-45EE-9CFA-6EDD269E6630}"/>
    <cellStyle name="Normal 13 2 6" xfId="452" xr:uid="{7FFD0369-A825-4D45-8358-17F05A61A549}"/>
    <cellStyle name="Normal 13 3" xfId="66" xr:uid="{00000000-0005-0000-0000-000025000000}"/>
    <cellStyle name="Normal 13 3 2" xfId="172" xr:uid="{55EA83C1-06C7-467B-B0E9-D19F2D736F4E}"/>
    <cellStyle name="Normal 13 3 3" xfId="274" xr:uid="{ACD439D7-16CD-4CC0-9C7D-5E1AC550341C}"/>
    <cellStyle name="Normal 13 3 4" xfId="376" xr:uid="{3BE210FC-AEFE-49B7-A8C7-0196AA1EC7DA}"/>
    <cellStyle name="Normal 13 3 5" xfId="478" xr:uid="{C696F56E-6285-4636-9A00-9BDE08FEAE88}"/>
    <cellStyle name="Normal 13 4" xfId="122" xr:uid="{23AE60CB-B45B-4313-9844-A3060D9C2674}"/>
    <cellStyle name="Normal 13 5" xfId="224" xr:uid="{B249DE77-C113-4C50-8A52-60D3D738D7B3}"/>
    <cellStyle name="Normal 13 6" xfId="326" xr:uid="{26AA6D61-64D6-42F3-80BA-9319EA6130FA}"/>
    <cellStyle name="Normal 13 7" xfId="428" xr:uid="{D284C813-8B03-4633-B1DF-6200CAF286D9}"/>
    <cellStyle name="Normal 14" xfId="17" xr:uid="{00000000-0005-0000-0000-000026000000}"/>
    <cellStyle name="Normal 14 2" xfId="41" xr:uid="{00000000-0005-0000-0000-000027000000}"/>
    <cellStyle name="Normal 14 2 2" xfId="91" xr:uid="{00000000-0005-0000-0000-000028000000}"/>
    <cellStyle name="Normal 14 2 2 2" xfId="197" xr:uid="{A3AF50BF-0A84-44F0-9E28-567620F24509}"/>
    <cellStyle name="Normal 14 2 2 3" xfId="299" xr:uid="{3498E733-1AAE-4B77-A71C-1FE346ACE3B4}"/>
    <cellStyle name="Normal 14 2 2 4" xfId="401" xr:uid="{CA9FB84E-283F-4B7F-895D-D01283187ADC}"/>
    <cellStyle name="Normal 14 2 2 5" xfId="503" xr:uid="{04937132-1D3D-4ADB-B36E-E06E7D3725A5}"/>
    <cellStyle name="Normal 14 2 3" xfId="147" xr:uid="{157838B6-07DF-4D01-97CA-7CB0F8691C3E}"/>
    <cellStyle name="Normal 14 2 4" xfId="249" xr:uid="{EA52C510-F616-4FBE-A49E-8128BC1C1217}"/>
    <cellStyle name="Normal 14 2 5" xfId="351" xr:uid="{09D8FD4E-31D7-41AD-B410-BB0B7F4AE4F2}"/>
    <cellStyle name="Normal 14 2 6" xfId="453" xr:uid="{CF94108B-2FBA-444B-976C-D08123EA6C1D}"/>
    <cellStyle name="Normal 14 3" xfId="67" xr:uid="{00000000-0005-0000-0000-000029000000}"/>
    <cellStyle name="Normal 14 3 2" xfId="173" xr:uid="{40E5EF11-2CC5-4CB3-A611-5D6FF6CED917}"/>
    <cellStyle name="Normal 14 3 3" xfId="275" xr:uid="{D0907D0A-524C-404A-94F4-7206FCDFE842}"/>
    <cellStyle name="Normal 14 3 4" xfId="377" xr:uid="{D3F3BFDE-E557-4CAA-AEEC-B20BE8F8B9A3}"/>
    <cellStyle name="Normal 14 3 5" xfId="479" xr:uid="{2140E1B3-4FED-4383-BACB-580A4525246C}"/>
    <cellStyle name="Normal 14 4" xfId="123" xr:uid="{AC18BDAA-DFF0-4ADD-9636-6AE0DAB4C601}"/>
    <cellStyle name="Normal 14 5" xfId="225" xr:uid="{F00C6819-C3A5-4C63-B4CF-7DDC7C9A5298}"/>
    <cellStyle name="Normal 14 6" xfId="327" xr:uid="{FE361B23-7D90-4491-AEE3-89F12EFFBB9C}"/>
    <cellStyle name="Normal 14 7" xfId="429" xr:uid="{EB07E1B0-B5AA-4913-B384-1369A053DF95}"/>
    <cellStyle name="Normal 15" xfId="18" xr:uid="{00000000-0005-0000-0000-00002A000000}"/>
    <cellStyle name="Normal 15 2" xfId="42" xr:uid="{00000000-0005-0000-0000-00002B000000}"/>
    <cellStyle name="Normal 15 2 2" xfId="92" xr:uid="{00000000-0005-0000-0000-00002C000000}"/>
    <cellStyle name="Normal 15 2 2 2" xfId="198" xr:uid="{497AB73E-D55B-47DA-BDD6-E9AE96466A31}"/>
    <cellStyle name="Normal 15 2 2 3" xfId="300" xr:uid="{734388A9-CEE3-485B-8AD4-6D6969BF33B5}"/>
    <cellStyle name="Normal 15 2 2 4" xfId="402" xr:uid="{8C0B9C6D-B0F0-41A1-9A28-4C903FC7E3D4}"/>
    <cellStyle name="Normal 15 2 2 5" xfId="504" xr:uid="{80BD557C-4184-4C41-B7E9-D5658557B79D}"/>
    <cellStyle name="Normal 15 2 3" xfId="148" xr:uid="{1B1FC5C7-FDC3-46D3-BA2B-8184F1D757CB}"/>
    <cellStyle name="Normal 15 2 4" xfId="250" xr:uid="{8FDECFAF-821A-44B0-878A-623F50D774F3}"/>
    <cellStyle name="Normal 15 2 5" xfId="352" xr:uid="{D5F93EC9-E1B4-4771-87CE-0E12E976C2D2}"/>
    <cellStyle name="Normal 15 2 6" xfId="454" xr:uid="{50B23858-699B-4B4C-B453-5FA76BA5778D}"/>
    <cellStyle name="Normal 15 3" xfId="68" xr:uid="{00000000-0005-0000-0000-00002D000000}"/>
    <cellStyle name="Normal 15 3 2" xfId="174" xr:uid="{BFF8D432-0DFF-4851-B072-E70113CB1BE2}"/>
    <cellStyle name="Normal 15 3 3" xfId="276" xr:uid="{E0589658-4AE6-4D22-9DF3-BC4B1FD6F933}"/>
    <cellStyle name="Normal 15 3 4" xfId="378" xr:uid="{02C6975E-1661-40DE-BBC8-716811596A25}"/>
    <cellStyle name="Normal 15 3 5" xfId="480" xr:uid="{5774D3E8-3661-46B7-85B1-223F81A9FC34}"/>
    <cellStyle name="Normal 15 4" xfId="124" xr:uid="{C2A228E9-08BD-485D-A17C-97EF377336AD}"/>
    <cellStyle name="Normal 15 5" xfId="226" xr:uid="{BE03E5AB-A39A-4A30-9A77-BC15D637CE5E}"/>
    <cellStyle name="Normal 15 6" xfId="328" xr:uid="{51BC0C30-E64F-4195-BF38-2BD225F9238B}"/>
    <cellStyle name="Normal 15 7" xfId="430" xr:uid="{68512462-60BA-4903-94CD-5D137AC20DF4}"/>
    <cellStyle name="Normal 16" xfId="19" xr:uid="{00000000-0005-0000-0000-00002E000000}"/>
    <cellStyle name="Normal 16 2" xfId="43" xr:uid="{00000000-0005-0000-0000-00002F000000}"/>
    <cellStyle name="Normal 16 2 2" xfId="93" xr:uid="{00000000-0005-0000-0000-000030000000}"/>
    <cellStyle name="Normal 16 2 2 2" xfId="199" xr:uid="{FB759A8E-C287-40FD-A623-CCB90F080405}"/>
    <cellStyle name="Normal 16 2 2 3" xfId="301" xr:uid="{D580187D-2FD8-4FF0-A185-B3C0D9B8B64F}"/>
    <cellStyle name="Normal 16 2 2 4" xfId="403" xr:uid="{25B838F6-227F-47BC-A8D2-9A71BA843CB9}"/>
    <cellStyle name="Normal 16 2 2 5" xfId="505" xr:uid="{50F90BCF-EFD1-4D72-B83A-E5DEACC79B76}"/>
    <cellStyle name="Normal 16 2 3" xfId="149" xr:uid="{95D0FC8C-6DBD-49AC-B763-0AA61D69F8EA}"/>
    <cellStyle name="Normal 16 2 4" xfId="251" xr:uid="{ABFFB548-900C-4ED8-9C25-DE53197F5D86}"/>
    <cellStyle name="Normal 16 2 5" xfId="353" xr:uid="{59F48DE1-79E7-4764-9843-6561CF5BE212}"/>
    <cellStyle name="Normal 16 2 6" xfId="455" xr:uid="{6CE7FF60-EFBB-4BE1-ABD3-DC43E983ADB8}"/>
    <cellStyle name="Normal 16 3" xfId="69" xr:uid="{00000000-0005-0000-0000-000031000000}"/>
    <cellStyle name="Normal 16 3 2" xfId="175" xr:uid="{5B4B47B8-0949-43DD-98DD-79D8710B6E86}"/>
    <cellStyle name="Normal 16 3 3" xfId="277" xr:uid="{36C48BA0-B418-42FF-888A-D698B8F3C856}"/>
    <cellStyle name="Normal 16 3 4" xfId="379" xr:uid="{E047BE96-8700-4060-8A99-341A251053A9}"/>
    <cellStyle name="Normal 16 3 5" xfId="481" xr:uid="{7C16F48D-04B2-405A-865A-6B6DC21BB228}"/>
    <cellStyle name="Normal 16 4" xfId="125" xr:uid="{D49DA8DA-78BC-49F7-8E00-B4585AB01872}"/>
    <cellStyle name="Normal 16 5" xfId="227" xr:uid="{3E69CCE4-D3A8-428D-8C37-C8A96ED05739}"/>
    <cellStyle name="Normal 16 6" xfId="329" xr:uid="{3FB19435-4CB7-461C-9C84-62AF580FBCEE}"/>
    <cellStyle name="Normal 16 7" xfId="431" xr:uid="{0C0D88CA-E117-4A72-BC07-4855E5E91482}"/>
    <cellStyle name="Normal 17" xfId="20" xr:uid="{00000000-0005-0000-0000-000032000000}"/>
    <cellStyle name="Normal 17 2" xfId="44" xr:uid="{00000000-0005-0000-0000-000033000000}"/>
    <cellStyle name="Normal 17 2 2" xfId="94" xr:uid="{00000000-0005-0000-0000-000034000000}"/>
    <cellStyle name="Normal 17 2 2 2" xfId="200" xr:uid="{2F67F8D5-75E8-424A-8D48-04045062192D}"/>
    <cellStyle name="Normal 17 2 2 3" xfId="302" xr:uid="{9D1D6565-3A08-42F2-B5AD-B4AFB66BD3AD}"/>
    <cellStyle name="Normal 17 2 2 4" xfId="404" xr:uid="{41954046-D2B0-4E0D-A5B5-45050B79FCA1}"/>
    <cellStyle name="Normal 17 2 2 5" xfId="506" xr:uid="{F4DD9B59-2177-4873-B423-A96975C0571D}"/>
    <cellStyle name="Normal 17 2 3" xfId="150" xr:uid="{02CC49F9-BBA9-43FF-A540-9B54AD30E139}"/>
    <cellStyle name="Normal 17 2 4" xfId="252" xr:uid="{B7C9F770-163A-4F32-8297-D0367DF8D0ED}"/>
    <cellStyle name="Normal 17 2 5" xfId="354" xr:uid="{26980E74-81F9-4592-BF94-CAB5F01C847C}"/>
    <cellStyle name="Normal 17 2 6" xfId="456" xr:uid="{2322C117-8C17-4A52-A053-568F4C0BF554}"/>
    <cellStyle name="Normal 17 3" xfId="70" xr:uid="{00000000-0005-0000-0000-000035000000}"/>
    <cellStyle name="Normal 17 3 2" xfId="176" xr:uid="{7BA5DFE4-8C1A-4A1A-BAD2-ED75DE442675}"/>
    <cellStyle name="Normal 17 3 3" xfId="278" xr:uid="{1FE1E969-01F1-4C3F-A85C-524F4F811BF6}"/>
    <cellStyle name="Normal 17 3 4" xfId="380" xr:uid="{5D486000-81D8-4AD9-A8A1-BC268C360CBA}"/>
    <cellStyle name="Normal 17 3 5" xfId="482" xr:uid="{C5495DF8-E47B-4D37-93E5-8FFF0AA08A8F}"/>
    <cellStyle name="Normal 17 4" xfId="126" xr:uid="{4B193473-2A7B-40C8-936A-A7E5EAD9F978}"/>
    <cellStyle name="Normal 17 5" xfId="228" xr:uid="{7764960F-2AF1-409F-B9B9-491DA35C9496}"/>
    <cellStyle name="Normal 17 6" xfId="330" xr:uid="{5A45C91A-2194-4A79-9450-990AAEF603D1}"/>
    <cellStyle name="Normal 17 7" xfId="432" xr:uid="{4DF5950E-A644-4AA1-8027-B5E2B1C5C7B6}"/>
    <cellStyle name="Normal 18" xfId="21" xr:uid="{00000000-0005-0000-0000-000036000000}"/>
    <cellStyle name="Normal 18 2" xfId="45" xr:uid="{00000000-0005-0000-0000-000037000000}"/>
    <cellStyle name="Normal 18 2 2" xfId="95" xr:uid="{00000000-0005-0000-0000-000038000000}"/>
    <cellStyle name="Normal 18 2 2 2" xfId="201" xr:uid="{B5F48FDC-7E5F-414F-B483-576701C80F06}"/>
    <cellStyle name="Normal 18 2 2 3" xfId="303" xr:uid="{9CDED841-161F-4BE7-8B02-0D2F66CFF201}"/>
    <cellStyle name="Normal 18 2 2 4" xfId="405" xr:uid="{7FCBF7E9-A6A6-47E0-9069-B454CD872FD4}"/>
    <cellStyle name="Normal 18 2 2 5" xfId="507" xr:uid="{E09FFA55-A0E2-491E-A6E8-7876FD5D1D14}"/>
    <cellStyle name="Normal 18 2 3" xfId="151" xr:uid="{39ED4C33-F142-40D3-980A-5CB60B1C4126}"/>
    <cellStyle name="Normal 18 2 4" xfId="253" xr:uid="{6697E3A1-32AC-4924-A063-A2C15670C4C8}"/>
    <cellStyle name="Normal 18 2 5" xfId="355" xr:uid="{62C6DDCB-87B4-47F1-A483-BD9B0DC73D2E}"/>
    <cellStyle name="Normal 18 2 6" xfId="457" xr:uid="{96510EA6-2156-4A2B-9204-5AF017DADCC7}"/>
    <cellStyle name="Normal 18 3" xfId="71" xr:uid="{00000000-0005-0000-0000-000039000000}"/>
    <cellStyle name="Normal 18 3 2" xfId="177" xr:uid="{BBED2364-6447-49F2-9059-4F0DBAC2818F}"/>
    <cellStyle name="Normal 18 3 3" xfId="279" xr:uid="{43B682FC-748C-4360-8810-3B68F2BEDB68}"/>
    <cellStyle name="Normal 18 3 4" xfId="381" xr:uid="{850E5A2A-2E13-458C-B472-216A4671A497}"/>
    <cellStyle name="Normal 18 3 5" xfId="483" xr:uid="{6C787A96-051E-43B9-8207-4E5B29201920}"/>
    <cellStyle name="Normal 18 4" xfId="127" xr:uid="{AB4287A4-0503-4B64-881E-F5504C8B8BC4}"/>
    <cellStyle name="Normal 18 5" xfId="229" xr:uid="{5E898E65-D435-4BA7-8AB5-FA3D95360866}"/>
    <cellStyle name="Normal 18 6" xfId="331" xr:uid="{AF7243A8-077F-47A1-A103-D11A68E3192B}"/>
    <cellStyle name="Normal 18 7" xfId="433" xr:uid="{683AD5A8-DEA0-4B86-8A07-260E40B022C3}"/>
    <cellStyle name="Normal 19" xfId="22" xr:uid="{00000000-0005-0000-0000-00003A000000}"/>
    <cellStyle name="Normal 19 2" xfId="46" xr:uid="{00000000-0005-0000-0000-00003B000000}"/>
    <cellStyle name="Normal 19 2 2" xfId="96" xr:uid="{00000000-0005-0000-0000-00003C000000}"/>
    <cellStyle name="Normal 19 2 2 2" xfId="202" xr:uid="{B35132BC-CC1A-427C-B1A8-3F0C9A2CCA6B}"/>
    <cellStyle name="Normal 19 2 2 3" xfId="304" xr:uid="{46F5C718-8430-40FE-9ECC-EE7ACA1EE8EA}"/>
    <cellStyle name="Normal 19 2 2 4" xfId="406" xr:uid="{DD7541A8-3C6B-4CF7-9D1E-23F541E8063D}"/>
    <cellStyle name="Normal 19 2 2 5" xfId="508" xr:uid="{EFD281E4-5175-4662-8176-77F33BBA9284}"/>
    <cellStyle name="Normal 19 2 3" xfId="152" xr:uid="{A2C99BB1-E3F1-4BA1-93D8-BC2BF258E3EE}"/>
    <cellStyle name="Normal 19 2 4" xfId="254" xr:uid="{DBDACF4E-7C76-4DF0-BE96-47F66947D7A3}"/>
    <cellStyle name="Normal 19 2 5" xfId="356" xr:uid="{92D641F4-9B66-477F-A5BD-679F0FC434ED}"/>
    <cellStyle name="Normal 19 2 6" xfId="458" xr:uid="{F12FC99D-2901-49E5-AFFE-970C1012C89E}"/>
    <cellStyle name="Normal 19 3" xfId="72" xr:uid="{00000000-0005-0000-0000-00003D000000}"/>
    <cellStyle name="Normal 19 3 2" xfId="178" xr:uid="{B3D6484C-831D-439B-88B2-5C3F7D466CB7}"/>
    <cellStyle name="Normal 19 3 3" xfId="280" xr:uid="{0CA76DF4-B4EB-4BCE-BF0C-6D546D4055BD}"/>
    <cellStyle name="Normal 19 3 4" xfId="382" xr:uid="{66F2216C-174C-4CB2-80D5-C22C4502CF64}"/>
    <cellStyle name="Normal 19 3 5" xfId="484" xr:uid="{C947DB7F-C37B-42A9-BB6E-F0F000CB2B1E}"/>
    <cellStyle name="Normal 19 4" xfId="128" xr:uid="{DC438946-8C10-4707-949B-3CF5A7411308}"/>
    <cellStyle name="Normal 19 5" xfId="230" xr:uid="{9874D089-F78B-4416-8C87-561270D649B9}"/>
    <cellStyle name="Normal 19 6" xfId="332" xr:uid="{A010CA38-C9EB-498A-A340-1E905986EAF4}"/>
    <cellStyle name="Normal 19 7" xfId="434" xr:uid="{4C59C296-CE38-4BB6-A807-8B598260CC5C}"/>
    <cellStyle name="Normal 2" xfId="4" xr:uid="{00000000-0005-0000-0000-00003E000000}"/>
    <cellStyle name="Normal 2 2" xfId="8" xr:uid="{00000000-0005-0000-0000-00003F000000}"/>
    <cellStyle name="Normal 20" xfId="24" xr:uid="{00000000-0005-0000-0000-000040000000}"/>
    <cellStyle name="Normal 20 2" xfId="48" xr:uid="{00000000-0005-0000-0000-000041000000}"/>
    <cellStyle name="Normal 20 2 2" xfId="98" xr:uid="{00000000-0005-0000-0000-000042000000}"/>
    <cellStyle name="Normal 20 2 2 2" xfId="204" xr:uid="{DF865132-DED1-4E3E-B59A-A6CFCA218F2F}"/>
    <cellStyle name="Normal 20 2 2 3" xfId="306" xr:uid="{136F7414-2A93-477F-B3E8-79AC515C0F2F}"/>
    <cellStyle name="Normal 20 2 2 4" xfId="408" xr:uid="{042C2A63-EECD-430C-A9DC-9126FA96EDE5}"/>
    <cellStyle name="Normal 20 2 2 5" xfId="510" xr:uid="{0F05B6F2-FE6A-423D-AAF0-C8F5D24E01A0}"/>
    <cellStyle name="Normal 20 2 3" xfId="154" xr:uid="{67662578-BC9D-46F1-A61E-2A46D1264546}"/>
    <cellStyle name="Normal 20 2 4" xfId="256" xr:uid="{ECC1DADC-E070-4DEE-9530-B332C32D8E1D}"/>
    <cellStyle name="Normal 20 2 5" xfId="358" xr:uid="{6FA138F8-E739-4BAC-8C8B-1AA083354E5F}"/>
    <cellStyle name="Normal 20 2 6" xfId="460" xr:uid="{61675BE8-8650-4D3F-8DC3-B75F6E506483}"/>
    <cellStyle name="Normal 20 3" xfId="74" xr:uid="{00000000-0005-0000-0000-000043000000}"/>
    <cellStyle name="Normal 20 3 2" xfId="180" xr:uid="{E6DBD939-3F33-4EF3-A833-9FC44A2E3409}"/>
    <cellStyle name="Normal 20 3 3" xfId="282" xr:uid="{0DABCA6E-CC10-42C8-97D6-08A4F54F0AC5}"/>
    <cellStyle name="Normal 20 3 4" xfId="384" xr:uid="{A10A4AC8-6DD3-4D70-9391-E265090652C7}"/>
    <cellStyle name="Normal 20 3 5" xfId="486" xr:uid="{51CBAF64-1DBE-4A51-B065-00C0978163E2}"/>
    <cellStyle name="Normal 20 4" xfId="130" xr:uid="{D27E49D3-0DC3-45A4-A336-0E5F274704AC}"/>
    <cellStyle name="Normal 20 5" xfId="232" xr:uid="{749215C5-3806-490F-A4F2-B88FF87A24B0}"/>
    <cellStyle name="Normal 20 6" xfId="334" xr:uid="{AA28A754-0F7D-4341-81E5-7AD4F4437765}"/>
    <cellStyle name="Normal 20 7" xfId="436" xr:uid="{B67BC3BE-2206-436A-B7D1-ADB19AA1C3AB}"/>
    <cellStyle name="Normal 21" xfId="26" xr:uid="{00000000-0005-0000-0000-000044000000}"/>
    <cellStyle name="Normal 21 2" xfId="50" xr:uid="{00000000-0005-0000-0000-000045000000}"/>
    <cellStyle name="Normal 21 2 2" xfId="100" xr:uid="{00000000-0005-0000-0000-000046000000}"/>
    <cellStyle name="Normal 21 2 2 2" xfId="206" xr:uid="{26794414-4071-44B2-9DAB-196EBC01FBB4}"/>
    <cellStyle name="Normal 21 2 2 3" xfId="308" xr:uid="{CAC7E752-E995-4202-AACC-F8FF046559B3}"/>
    <cellStyle name="Normal 21 2 2 4" xfId="410" xr:uid="{F2B34739-4CDC-4CB3-A4A7-6F851A1B89CD}"/>
    <cellStyle name="Normal 21 2 2 5" xfId="512" xr:uid="{3365C329-9801-4A5C-A3DA-8AE61B1BEE41}"/>
    <cellStyle name="Normal 21 2 3" xfId="156" xr:uid="{03A54B34-DA44-451F-AD9D-9DE934C82C83}"/>
    <cellStyle name="Normal 21 2 4" xfId="258" xr:uid="{81A4D708-813D-4D19-88F3-A2DBDCFD026F}"/>
    <cellStyle name="Normal 21 2 5" xfId="360" xr:uid="{D2B6637B-3CDE-44B8-ACB3-8B259DB1106C}"/>
    <cellStyle name="Normal 21 2 6" xfId="462" xr:uid="{F46FCE3D-5399-4550-BD32-C4AF52068822}"/>
    <cellStyle name="Normal 21 3" xfId="76" xr:uid="{00000000-0005-0000-0000-000047000000}"/>
    <cellStyle name="Normal 21 3 2" xfId="182" xr:uid="{F957A9BD-89CC-49CB-85F3-E0A486CE9627}"/>
    <cellStyle name="Normal 21 3 3" xfId="284" xr:uid="{1DB277A6-D4FD-4A10-ACB6-70D8D5D118EB}"/>
    <cellStyle name="Normal 21 3 4" xfId="386" xr:uid="{3E6B038C-45B4-47DD-BD6E-E28023C6DB9E}"/>
    <cellStyle name="Normal 21 3 5" xfId="488" xr:uid="{722EA01F-3F00-4839-9E9C-C83C5DD70327}"/>
    <cellStyle name="Normal 21 4" xfId="132" xr:uid="{A016FA82-E593-4ADD-B4FB-09113EDD6A95}"/>
    <cellStyle name="Normal 21 5" xfId="234" xr:uid="{1FEBCBAD-9EAC-4A30-8B86-20B872269EE4}"/>
    <cellStyle name="Normal 21 6" xfId="336" xr:uid="{E9D09BBC-A1EC-442D-B88D-B88B1BCA7CC7}"/>
    <cellStyle name="Normal 21 7" xfId="438" xr:uid="{0D005038-EB62-4C1B-B3FC-87DA40E0FB70}"/>
    <cellStyle name="Normal 22" xfId="28" xr:uid="{00000000-0005-0000-0000-000048000000}"/>
    <cellStyle name="Normal 22 2" xfId="52" xr:uid="{00000000-0005-0000-0000-000049000000}"/>
    <cellStyle name="Normal 22 2 2" xfId="102" xr:uid="{00000000-0005-0000-0000-00004A000000}"/>
    <cellStyle name="Normal 22 2 2 2" xfId="208" xr:uid="{4E255E9D-D372-4AF3-BE85-FE9D0F48F56E}"/>
    <cellStyle name="Normal 22 2 2 3" xfId="310" xr:uid="{65BF7066-9493-4AA8-8DEF-6224F61F3E18}"/>
    <cellStyle name="Normal 22 2 2 4" xfId="412" xr:uid="{7D57DBBA-D403-421E-9CC4-CC9DE992D24C}"/>
    <cellStyle name="Normal 22 2 2 5" xfId="514" xr:uid="{57F08786-C43E-433F-9682-E77CE2A10E39}"/>
    <cellStyle name="Normal 22 2 3" xfId="158" xr:uid="{42BD8ACB-07CD-43C0-B06E-5AECBF64AD0F}"/>
    <cellStyle name="Normal 22 2 4" xfId="260" xr:uid="{25603DC8-5460-45CE-89B7-89DB00678512}"/>
    <cellStyle name="Normal 22 2 5" xfId="362" xr:uid="{C7555D29-7339-4252-8B40-C63B13F3FB4B}"/>
    <cellStyle name="Normal 22 2 6" xfId="464" xr:uid="{53688429-7F97-42BC-B53E-C10150D50651}"/>
    <cellStyle name="Normal 22 3" xfId="78" xr:uid="{00000000-0005-0000-0000-00004B000000}"/>
    <cellStyle name="Normal 22 3 2" xfId="184" xr:uid="{3A25C8F0-A7F9-4C11-9A88-F2DED9A9DEE3}"/>
    <cellStyle name="Normal 22 3 3" xfId="286" xr:uid="{DB5DBE2F-75F1-4444-8F43-E7883820D972}"/>
    <cellStyle name="Normal 22 3 4" xfId="388" xr:uid="{9EA5F42E-85C5-46E8-9249-922B2A22588B}"/>
    <cellStyle name="Normal 22 3 5" xfId="490" xr:uid="{DBA12487-A9B8-4572-BA02-1CE39310BD29}"/>
    <cellStyle name="Normal 22 4" xfId="134" xr:uid="{878CFD7A-05E6-4BC4-A2E0-8A9D6547F7BA}"/>
    <cellStyle name="Normal 22 5" xfId="236" xr:uid="{730C9CA2-2936-4963-8F28-45FC8732BE88}"/>
    <cellStyle name="Normal 22 6" xfId="338" xr:uid="{838D901B-F580-4F97-98B2-A5E3D273DC4E}"/>
    <cellStyle name="Normal 22 7" xfId="440" xr:uid="{DBEF3F16-38E1-43DE-B1D9-4A300AF1665A}"/>
    <cellStyle name="Normal 23" xfId="54" xr:uid="{00000000-0005-0000-0000-00004C000000}"/>
    <cellStyle name="Normal 23 2" xfId="104" xr:uid="{00000000-0005-0000-0000-00004D000000}"/>
    <cellStyle name="Normal 23 2 2" xfId="210" xr:uid="{7EBF02C5-0BB4-4605-9AC3-1A62ECAD1803}"/>
    <cellStyle name="Normal 23 2 3" xfId="312" xr:uid="{14171835-7FDE-461C-B235-7CC39115B69D}"/>
    <cellStyle name="Normal 23 2 4" xfId="414" xr:uid="{614E5165-6263-415F-8EBC-7C29ED13385D}"/>
    <cellStyle name="Normal 23 2 5" xfId="516" xr:uid="{FE2F10C2-1027-480C-9162-F1DBB38F7932}"/>
    <cellStyle name="Normal 23 3" xfId="160" xr:uid="{0344E5C5-D781-4FD8-9D91-DCADAA251D8D}"/>
    <cellStyle name="Normal 23 4" xfId="262" xr:uid="{FE5953B4-6F85-44AA-A435-B466F85444B4}"/>
    <cellStyle name="Normal 23 5" xfId="364" xr:uid="{7E0DD463-474C-42D8-B1A5-F80AD2960C47}"/>
    <cellStyle name="Normal 23 6" xfId="466" xr:uid="{52B57621-420C-4F84-88A1-25A3EB81CA47}"/>
    <cellStyle name="Normal 24" xfId="108" xr:uid="{EB450F2B-2BCF-40DF-A3AB-765251B2261A}"/>
    <cellStyle name="Normal 25" xfId="106" xr:uid="{778FEABD-3246-42F0-B3D5-63ACD841DD7F}"/>
    <cellStyle name="Normal 26" xfId="212" xr:uid="{62BD334D-B3ED-4107-892B-45D04D9EC273}"/>
    <cellStyle name="Normal 27" xfId="314" xr:uid="{3B210BA5-A780-498B-8A87-31342944ACAA}"/>
    <cellStyle name="Normal 28" xfId="416" xr:uid="{0D147543-1A23-4AB4-93B7-FE5C84BD968F}"/>
    <cellStyle name="Normal 3" xfId="3" xr:uid="{00000000-0005-0000-0000-00004E000000}"/>
    <cellStyle name="Normal 3 2" xfId="30" xr:uid="{00000000-0005-0000-0000-00004F000000}"/>
    <cellStyle name="Normal 3 2 2" xfId="80" xr:uid="{00000000-0005-0000-0000-000050000000}"/>
    <cellStyle name="Normal 3 2 2 2" xfId="186" xr:uid="{A856CEA6-C1FB-4ED4-B535-E1D6FC80D0C4}"/>
    <cellStyle name="Normal 3 2 2 3" xfId="288" xr:uid="{7F56456F-5AC2-4FF6-B551-A1B6C4943786}"/>
    <cellStyle name="Normal 3 2 2 4" xfId="390" xr:uid="{8C58A9CE-1F11-4988-A916-DF98D087A703}"/>
    <cellStyle name="Normal 3 2 2 5" xfId="492" xr:uid="{AB7FA7C6-1D60-471C-9D8B-1B25D8184CB3}"/>
    <cellStyle name="Normal 3 2 3" xfId="136" xr:uid="{804427A4-8B61-4BF0-AE95-9926C2D3BCD3}"/>
    <cellStyle name="Normal 3 2 4" xfId="238" xr:uid="{3269D320-D080-4CF3-8EB3-680FC189324B}"/>
    <cellStyle name="Normal 3 2 5" xfId="340" xr:uid="{20D6DBAA-CBD7-43E7-AEB8-E4BE64A4E2FD}"/>
    <cellStyle name="Normal 3 2 6" xfId="442" xr:uid="{284B3ADE-DBBA-4545-81DC-8CA4FD52E712}"/>
    <cellStyle name="Normal 3 3" xfId="56" xr:uid="{00000000-0005-0000-0000-000051000000}"/>
    <cellStyle name="Normal 3 3 2" xfId="162" xr:uid="{324366BE-45D1-4F5A-852D-AB3C40B95F96}"/>
    <cellStyle name="Normal 3 3 3" xfId="264" xr:uid="{FAD554A9-1DC0-4414-B4C1-8A558E89F2CE}"/>
    <cellStyle name="Normal 3 3 4" xfId="366" xr:uid="{2CCEF05F-732B-48AA-897E-42A86654B286}"/>
    <cellStyle name="Normal 3 3 5" xfId="468" xr:uid="{344AB18E-BB8F-47E3-B74B-99FA96F2B335}"/>
    <cellStyle name="Normal 3 4" xfId="111" xr:uid="{A51C956E-B840-4C95-BC85-225366DCC5F6}"/>
    <cellStyle name="Normal 3 5" xfId="214" xr:uid="{2097DCDB-C743-41D2-95CB-E301342CED95}"/>
    <cellStyle name="Normal 3 6" xfId="316" xr:uid="{4952308B-756E-4A66-BC94-2E803D4B9F89}"/>
    <cellStyle name="Normal 3 7" xfId="418" xr:uid="{168A684C-D10D-4E1B-BA47-4FD87B1DBF90}"/>
    <cellStyle name="Normal 4" xfId="6" xr:uid="{00000000-0005-0000-0000-000052000000}"/>
    <cellStyle name="Normal 4 2" xfId="31" xr:uid="{00000000-0005-0000-0000-000053000000}"/>
    <cellStyle name="Normal 4 2 2" xfId="81" xr:uid="{00000000-0005-0000-0000-000054000000}"/>
    <cellStyle name="Normal 4 2 2 2" xfId="187" xr:uid="{18CC91CB-0075-4AFA-B6B8-4FA9D08DF4A7}"/>
    <cellStyle name="Normal 4 2 2 3" xfId="289" xr:uid="{6D93C9AB-18D0-49CE-A5D0-D5278EE34586}"/>
    <cellStyle name="Normal 4 2 2 4" xfId="391" xr:uid="{A892006A-CC64-4250-B2D9-D31304A3A7E5}"/>
    <cellStyle name="Normal 4 2 2 5" xfId="493" xr:uid="{99F28D5A-B8C8-4D87-B383-66385D5AC98B}"/>
    <cellStyle name="Normal 4 2 3" xfId="137" xr:uid="{403CD394-2209-4400-AF12-CCB7FC3AFAC1}"/>
    <cellStyle name="Normal 4 2 4" xfId="239" xr:uid="{91936F35-F3A9-488D-A075-FDF8CEBAE7EC}"/>
    <cellStyle name="Normal 4 2 5" xfId="341" xr:uid="{C8B1980B-6162-414E-98C7-4223A69C5DA1}"/>
    <cellStyle name="Normal 4 2 6" xfId="443" xr:uid="{0695F398-F2BB-4B27-A247-C9FC062181C3}"/>
    <cellStyle name="Normal 4 3" xfId="57" xr:uid="{00000000-0005-0000-0000-000055000000}"/>
    <cellStyle name="Normal 4 3 2" xfId="163" xr:uid="{0F0A3C60-39AA-4FA4-8E5E-072EB7B1CFE9}"/>
    <cellStyle name="Normal 4 3 3" xfId="265" xr:uid="{B84CC4AE-3FDF-4F6E-884E-A1488BE82449}"/>
    <cellStyle name="Normal 4 3 4" xfId="367" xr:uid="{3A56E657-73F7-4D44-AD08-93945835D866}"/>
    <cellStyle name="Normal 4 3 5" xfId="469" xr:uid="{FC97742C-4E81-441B-AAF5-5D2EDD3F4AE2}"/>
    <cellStyle name="Normal 4 4" xfId="113" xr:uid="{AEE2DA24-D5F0-4274-A4F3-CC56EAE07AB3}"/>
    <cellStyle name="Normal 4 5" xfId="215" xr:uid="{220036DB-FACF-4177-BB40-C8417CCEF9E0}"/>
    <cellStyle name="Normal 4 6" xfId="317" xr:uid="{781ACCC9-9664-48BE-B574-CF8326D36145}"/>
    <cellStyle name="Normal 4 7" xfId="419" xr:uid="{4EFF04F3-74FA-4A83-9009-BBC648C2B6BD}"/>
    <cellStyle name="Normal 5" xfId="7" xr:uid="{00000000-0005-0000-0000-000056000000}"/>
    <cellStyle name="Normal 5 2" xfId="32" xr:uid="{00000000-0005-0000-0000-000057000000}"/>
    <cellStyle name="Normal 5 2 2" xfId="82" xr:uid="{00000000-0005-0000-0000-000058000000}"/>
    <cellStyle name="Normal 5 2 2 2" xfId="188" xr:uid="{10BB0C89-942D-4C14-8BBA-5B769B05A255}"/>
    <cellStyle name="Normal 5 2 2 3" xfId="290" xr:uid="{0C61BFB0-EF5C-4F4E-9623-6CC3C2123C1B}"/>
    <cellStyle name="Normal 5 2 2 4" xfId="392" xr:uid="{68EC7DE6-2047-40F9-8319-0284787055C6}"/>
    <cellStyle name="Normal 5 2 2 5" xfId="494" xr:uid="{8F456EAB-C269-4A1F-B8D4-05627F5627FB}"/>
    <cellStyle name="Normal 5 2 3" xfId="138" xr:uid="{917F61DE-D214-40AA-B6BC-A86FFCA113E0}"/>
    <cellStyle name="Normal 5 2 4" xfId="240" xr:uid="{E549D31B-DA33-4F0D-A92D-1FF1127BBA88}"/>
    <cellStyle name="Normal 5 2 5" xfId="342" xr:uid="{1AF6A343-977D-4C4A-882A-75BD0F5F410E}"/>
    <cellStyle name="Normal 5 2 6" xfId="444" xr:uid="{2FA909B0-F5BA-492C-AB85-5AF379481E64}"/>
    <cellStyle name="Normal 5 3" xfId="58" xr:uid="{00000000-0005-0000-0000-000059000000}"/>
    <cellStyle name="Normal 5 3 2" xfId="164" xr:uid="{94ED11AC-AF1F-4A06-B69C-2BFB7CC9EC48}"/>
    <cellStyle name="Normal 5 3 3" xfId="266" xr:uid="{1B5E63CA-87FB-4AA9-8A1D-E5768DCC4074}"/>
    <cellStyle name="Normal 5 3 4" xfId="368" xr:uid="{C7A57EA3-3F12-46D7-9453-E1533077B781}"/>
    <cellStyle name="Normal 5 3 5" xfId="470" xr:uid="{B978FA77-8846-4E71-8831-F2C731F855E0}"/>
    <cellStyle name="Normal 5 4" xfId="114" xr:uid="{7A398580-0DF7-4941-B0A8-E3F0DDBC6A6B}"/>
    <cellStyle name="Normal 5 5" xfId="216" xr:uid="{6AE9D95A-25F3-491E-BD09-59546AFA02A6}"/>
    <cellStyle name="Normal 5 6" xfId="318" xr:uid="{9C232565-BEAB-4452-B6C3-868666B5F621}"/>
    <cellStyle name="Normal 5 7" xfId="420" xr:uid="{1124A0AE-403B-4DA8-BC71-5FEC8CB304C2}"/>
    <cellStyle name="Normal 6" xfId="9" xr:uid="{00000000-0005-0000-0000-00005A000000}"/>
    <cellStyle name="Normal 6 2" xfId="33" xr:uid="{00000000-0005-0000-0000-00005B000000}"/>
    <cellStyle name="Normal 6 2 2" xfId="83" xr:uid="{00000000-0005-0000-0000-00005C000000}"/>
    <cellStyle name="Normal 6 2 2 2" xfId="189" xr:uid="{DE95F045-C455-4C58-AB6E-4BE410AA2F17}"/>
    <cellStyle name="Normal 6 2 2 3" xfId="291" xr:uid="{B6252628-3171-4CAF-846A-116CECF9EBD7}"/>
    <cellStyle name="Normal 6 2 2 4" xfId="393" xr:uid="{0AF5059F-0327-45B9-B5E8-A68462758F44}"/>
    <cellStyle name="Normal 6 2 2 5" xfId="495" xr:uid="{32BAF972-42A4-4117-85A8-0531396E6D9B}"/>
    <cellStyle name="Normal 6 2 3" xfId="139" xr:uid="{78DE97E6-8EAE-4422-AFCE-6045A8E48EF4}"/>
    <cellStyle name="Normal 6 2 4" xfId="241" xr:uid="{C82F0EBA-4614-4D76-8C9E-541C5CE25589}"/>
    <cellStyle name="Normal 6 2 5" xfId="343" xr:uid="{D369C5FB-C888-4A87-AE78-A36657F5533A}"/>
    <cellStyle name="Normal 6 2 6" xfId="445" xr:uid="{BF7D0FB3-1E77-4845-AB10-EBD59FCEA427}"/>
    <cellStyle name="Normal 6 3" xfId="59" xr:uid="{00000000-0005-0000-0000-00005D000000}"/>
    <cellStyle name="Normal 6 3 2" xfId="165" xr:uid="{EB90006B-47A4-4281-B6CD-FFC664FD7BE9}"/>
    <cellStyle name="Normal 6 3 3" xfId="267" xr:uid="{D08A3F34-05C4-4877-A890-34DD5F3CD2C3}"/>
    <cellStyle name="Normal 6 3 4" xfId="369" xr:uid="{F4CDB54E-1CB1-4A52-90A6-0D02DB4F5C17}"/>
    <cellStyle name="Normal 6 3 5" xfId="471" xr:uid="{CC70EAC9-DD4B-467A-A161-53D049CF3C6B}"/>
    <cellStyle name="Normal 6 4" xfId="115" xr:uid="{AA0D492A-1DF7-4754-AC0B-A06446BFC9B4}"/>
    <cellStyle name="Normal 6 5" xfId="217" xr:uid="{5B0E180F-CDB8-4A11-9A31-7500E922FF32}"/>
    <cellStyle name="Normal 6 6" xfId="319" xr:uid="{A0515681-79C1-40BA-BFC2-174FAF6739DF}"/>
    <cellStyle name="Normal 6 7" xfId="421" xr:uid="{25FCFA7E-8C54-4671-818F-277435F6BC90}"/>
    <cellStyle name="Normal 7" xfId="10" xr:uid="{00000000-0005-0000-0000-00005E000000}"/>
    <cellStyle name="Normal 7 2" xfId="34" xr:uid="{00000000-0005-0000-0000-00005F000000}"/>
    <cellStyle name="Normal 7 2 2" xfId="84" xr:uid="{00000000-0005-0000-0000-000060000000}"/>
    <cellStyle name="Normal 7 2 2 2" xfId="190" xr:uid="{C2979B11-E2F8-4F76-85C3-CE949BD4110A}"/>
    <cellStyle name="Normal 7 2 2 3" xfId="292" xr:uid="{6CB85EE4-00F4-4F9C-AC90-6CF5CF43A136}"/>
    <cellStyle name="Normal 7 2 2 4" xfId="394" xr:uid="{99B65860-0E6A-471D-B207-F183539877D5}"/>
    <cellStyle name="Normal 7 2 2 5" xfId="496" xr:uid="{F30791A2-C0BF-4317-BE32-85C3FB4433CE}"/>
    <cellStyle name="Normal 7 2 3" xfId="140" xr:uid="{7B635BF0-6BD9-4CBC-B745-A9274E85C6F1}"/>
    <cellStyle name="Normal 7 2 4" xfId="242" xr:uid="{67456C99-2629-47A2-8A34-B0C578997E11}"/>
    <cellStyle name="Normal 7 2 5" xfId="344" xr:uid="{7CFC7BD5-15F4-4866-BBB9-B78913C7F3B4}"/>
    <cellStyle name="Normal 7 2 6" xfId="446" xr:uid="{A3EF113D-29FA-4EB3-A703-AC9AC8054038}"/>
    <cellStyle name="Normal 7 3" xfId="60" xr:uid="{00000000-0005-0000-0000-000061000000}"/>
    <cellStyle name="Normal 7 3 2" xfId="166" xr:uid="{8C42057F-A387-4A87-8CF7-D7EFB0F446ED}"/>
    <cellStyle name="Normal 7 3 3" xfId="268" xr:uid="{A5C1ABB8-3B5E-4769-9DAE-6E51A7C0DFD6}"/>
    <cellStyle name="Normal 7 3 4" xfId="370" xr:uid="{6159F82E-E851-484F-AFEC-D32371207924}"/>
    <cellStyle name="Normal 7 3 5" xfId="472" xr:uid="{B0A0313B-1FE1-4942-A862-F7EFC1C2F22C}"/>
    <cellStyle name="Normal 7 4" xfId="116" xr:uid="{444E92C5-311D-408D-8815-722C3A21E675}"/>
    <cellStyle name="Normal 7 5" xfId="218" xr:uid="{4B441FBF-8ACF-49AD-83A1-6DECB685CC95}"/>
    <cellStyle name="Normal 7 6" xfId="320" xr:uid="{FC88714A-D9A5-435F-9EB9-A49401B88DDC}"/>
    <cellStyle name="Normal 7 7" xfId="422" xr:uid="{421E4104-98AA-4356-BE20-C7CCB1A5FF04}"/>
    <cellStyle name="Normal 8" xfId="11" xr:uid="{00000000-0005-0000-0000-000062000000}"/>
    <cellStyle name="Normal 8 2" xfId="35" xr:uid="{00000000-0005-0000-0000-000063000000}"/>
    <cellStyle name="Normal 8 2 2" xfId="85" xr:uid="{00000000-0005-0000-0000-000064000000}"/>
    <cellStyle name="Normal 8 2 2 2" xfId="191" xr:uid="{A89BDD2D-D41B-4CFD-A952-6ABB64D9E82A}"/>
    <cellStyle name="Normal 8 2 2 3" xfId="293" xr:uid="{82124296-F043-4C87-AAD2-5055CA85711F}"/>
    <cellStyle name="Normal 8 2 2 4" xfId="395" xr:uid="{6C8DCAB2-C41D-40AA-AAF3-9BE596754E4C}"/>
    <cellStyle name="Normal 8 2 2 5" xfId="497" xr:uid="{2053A70A-E032-423D-A389-907AB607CFBC}"/>
    <cellStyle name="Normal 8 2 3" xfId="141" xr:uid="{C30EA87A-AC9E-469E-AD79-C0816561D383}"/>
    <cellStyle name="Normal 8 2 4" xfId="243" xr:uid="{DCE680FE-46AD-4BED-8CC1-4516DED7014E}"/>
    <cellStyle name="Normal 8 2 5" xfId="345" xr:uid="{C3131734-EFBB-4AFE-8E2E-269192E74157}"/>
    <cellStyle name="Normal 8 2 6" xfId="447" xr:uid="{C57F382B-C51D-4831-A82B-0777229E4AE7}"/>
    <cellStyle name="Normal 8 3" xfId="61" xr:uid="{00000000-0005-0000-0000-000065000000}"/>
    <cellStyle name="Normal 8 3 2" xfId="167" xr:uid="{EC12094F-104A-4B32-A7EF-9C7834DEB6B5}"/>
    <cellStyle name="Normal 8 3 3" xfId="269" xr:uid="{62815A07-699A-4C37-AB16-5EBB8FE139F1}"/>
    <cellStyle name="Normal 8 3 4" xfId="371" xr:uid="{618E8F17-CD5E-4996-B73E-5C38C422EB7F}"/>
    <cellStyle name="Normal 8 3 5" xfId="473" xr:uid="{F358A33F-D378-4692-8A3B-0B4410493029}"/>
    <cellStyle name="Normal 8 4" xfId="117" xr:uid="{0F7105EF-3EE2-4039-AF8C-C433C2E5E969}"/>
    <cellStyle name="Normal 8 5" xfId="219" xr:uid="{F4BE7E4C-0213-4384-B28E-58C98901B5EF}"/>
    <cellStyle name="Normal 8 6" xfId="321" xr:uid="{AD3D710C-EE55-460E-8B4A-D04A986A2B73}"/>
    <cellStyle name="Normal 8 7" xfId="423" xr:uid="{1E8E39FB-C731-4731-BC6E-05F82540737C}"/>
    <cellStyle name="Normal 9" xfId="12" xr:uid="{00000000-0005-0000-0000-000066000000}"/>
    <cellStyle name="Normal 9 2" xfId="36" xr:uid="{00000000-0005-0000-0000-000067000000}"/>
    <cellStyle name="Normal 9 2 2" xfId="86" xr:uid="{00000000-0005-0000-0000-000068000000}"/>
    <cellStyle name="Normal 9 2 2 2" xfId="192" xr:uid="{8EBA8018-B706-4DC6-8312-C4020F569FFE}"/>
    <cellStyle name="Normal 9 2 2 3" xfId="294" xr:uid="{99FCA590-0F71-4403-A3A0-6E82EC5D33F9}"/>
    <cellStyle name="Normal 9 2 2 4" xfId="396" xr:uid="{439DDEC1-CF0F-4A06-8E0E-B2D9BF73C6B9}"/>
    <cellStyle name="Normal 9 2 2 5" xfId="498" xr:uid="{1B7F599C-F65B-4F9F-B92E-D25C58CDA2AE}"/>
    <cellStyle name="Normal 9 2 3" xfId="142" xr:uid="{9E2646D0-9119-4D92-A4CE-ABF22F3AFA85}"/>
    <cellStyle name="Normal 9 2 4" xfId="244" xr:uid="{CDBC1FC0-2D20-4700-8B83-EBB00D3C7F87}"/>
    <cellStyle name="Normal 9 2 5" xfId="346" xr:uid="{E976056A-7EF2-48F2-A74E-39E27CEBFD16}"/>
    <cellStyle name="Normal 9 2 6" xfId="448" xr:uid="{CE2C81B8-F1DE-4240-A3A6-D0517C3523D7}"/>
    <cellStyle name="Normal 9 3" xfId="62" xr:uid="{00000000-0005-0000-0000-000069000000}"/>
    <cellStyle name="Normal 9 3 2" xfId="168" xr:uid="{40610B08-BAD2-4D72-B7CF-E7E069295B38}"/>
    <cellStyle name="Normal 9 3 3" xfId="270" xr:uid="{F82C5B8A-1B94-42B9-A654-467F9AA8CB9D}"/>
    <cellStyle name="Normal 9 3 4" xfId="372" xr:uid="{B4B11141-3F81-429A-8FF1-9A499A7C501B}"/>
    <cellStyle name="Normal 9 3 5" xfId="474" xr:uid="{421F33B1-E48B-4ADC-AB6E-BE40FDB11167}"/>
    <cellStyle name="Normal 9 4" xfId="118" xr:uid="{5C8389FC-A4B3-449E-A7F5-E53A31455741}"/>
    <cellStyle name="Normal 9 5" xfId="220" xr:uid="{D1DF537C-D42C-4EDD-AABD-15380BE8CA38}"/>
    <cellStyle name="Normal 9 6" xfId="322" xr:uid="{2BD0F0AD-902A-49AE-876C-2BAEFEBE2CF4}"/>
    <cellStyle name="Normal 9 7" xfId="424" xr:uid="{38C7EDC8-7715-4BEB-B24F-64EBE3258A7A}"/>
  </cellStyles>
  <dxfs count="3">
    <dxf>
      <fill>
        <patternFill>
          <bgColor indexed="1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100"/>
  <sheetViews>
    <sheetView tabSelected="1" zoomScaleNormal="100" workbookViewId="0">
      <selection activeCell="B8" sqref="B8"/>
    </sheetView>
  </sheetViews>
  <sheetFormatPr defaultRowHeight="12.75" x14ac:dyDescent="0.2"/>
  <cols>
    <col min="1" max="1" width="7.140625" customWidth="1"/>
    <col min="2" max="4" width="13.7109375" customWidth="1"/>
    <col min="5" max="5" width="20.140625" customWidth="1"/>
    <col min="6" max="6" width="8" customWidth="1"/>
    <col min="7" max="8" width="11.7109375" customWidth="1"/>
    <col min="9" max="9" width="13.5703125" customWidth="1"/>
    <col min="10" max="11" width="12.7109375" customWidth="1"/>
  </cols>
  <sheetData>
    <row r="1" spans="1:33" ht="19.5" thickTop="1" thickBot="1" x14ac:dyDescent="0.3">
      <c r="A1" s="80"/>
      <c r="B1" s="81" t="s">
        <v>5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3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</row>
    <row r="2" spans="1:33" ht="17.25" thickTop="1" thickBot="1" x14ac:dyDescent="0.3">
      <c r="A2" s="84"/>
      <c r="B2" s="85" t="s">
        <v>6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7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</row>
    <row r="3" spans="1:33" ht="16.5" thickTop="1" thickBot="1" x14ac:dyDescent="0.25">
      <c r="A3" s="84"/>
      <c r="B3" s="88" t="s">
        <v>7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7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</row>
    <row r="4" spans="1:33" ht="16.5" thickTop="1" thickBot="1" x14ac:dyDescent="0.25">
      <c r="A4" s="89"/>
      <c r="B4" s="90" t="s">
        <v>8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2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</row>
    <row r="5" spans="1:33" ht="13.5" thickTop="1" x14ac:dyDescent="0.2">
      <c r="A5" s="93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</row>
    <row r="6" spans="1:33" ht="18" x14ac:dyDescent="0.25">
      <c r="A6" s="94"/>
      <c r="B6" s="154" t="s">
        <v>9</v>
      </c>
      <c r="C6" s="155"/>
      <c r="D6" s="155"/>
      <c r="E6" s="156"/>
      <c r="F6" s="97"/>
      <c r="G6" s="97"/>
      <c r="H6" s="154" t="s">
        <v>10</v>
      </c>
      <c r="I6" s="155"/>
      <c r="J6" s="155"/>
      <c r="K6" s="156"/>
      <c r="L6" s="97"/>
      <c r="M6" s="100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</row>
    <row r="7" spans="1:33" x14ac:dyDescent="0.2">
      <c r="A7" s="94"/>
      <c r="B7" s="103" t="s">
        <v>1</v>
      </c>
      <c r="C7" s="104" t="s">
        <v>11</v>
      </c>
      <c r="D7" s="104" t="s">
        <v>3</v>
      </c>
      <c r="E7" s="104" t="s">
        <v>4</v>
      </c>
      <c r="F7" s="97"/>
      <c r="G7" s="97"/>
      <c r="H7" s="103" t="s">
        <v>1</v>
      </c>
      <c r="I7" s="104" t="s">
        <v>11</v>
      </c>
      <c r="J7" s="104" t="s">
        <v>3</v>
      </c>
      <c r="K7" s="104" t="s">
        <v>4</v>
      </c>
      <c r="L7" s="157"/>
      <c r="M7" s="100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</row>
    <row r="8" spans="1:33" x14ac:dyDescent="0.2">
      <c r="A8" s="94"/>
      <c r="B8" s="7">
        <v>46143</v>
      </c>
      <c r="C8" s="105">
        <f>VLOOKUP(B8,MaintainIndexes,2,FALSE)</f>
        <v>727.63</v>
      </c>
      <c r="D8" s="106">
        <f>VLOOKUP($B8,MaintainIndexes,3,FALSE)</f>
        <v>4.4624442499999999</v>
      </c>
      <c r="E8" s="106">
        <f>VLOOKUP($B8,MaintainIndexes,4,FALSE)</f>
        <v>3.3485613928571434</v>
      </c>
      <c r="F8" s="97"/>
      <c r="G8" s="97" t="s">
        <v>12</v>
      </c>
      <c r="H8" s="8">
        <v>46143</v>
      </c>
      <c r="I8" s="105">
        <f>VLOOKUP(H8,MaintainIndexes,2,FALSE)</f>
        <v>727.63</v>
      </c>
      <c r="J8" s="106">
        <f>VLOOKUP($H8,MaintainIndexes,3,FALSE)</f>
        <v>4.4624442499999999</v>
      </c>
      <c r="K8" s="106">
        <f>VLOOKUP($H8,MaintainIndexes,4,FALSE)</f>
        <v>3.3485613928571434</v>
      </c>
      <c r="L8" s="157"/>
      <c r="M8" s="100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</row>
    <row r="9" spans="1:33" ht="13.5" thickBot="1" x14ac:dyDescent="0.25">
      <c r="A9" s="95"/>
      <c r="B9" s="98"/>
      <c r="C9" s="98"/>
      <c r="D9" s="102"/>
      <c r="E9" s="102"/>
      <c r="F9" s="98"/>
      <c r="G9" s="98"/>
      <c r="H9" s="98"/>
      <c r="I9" s="98"/>
      <c r="J9" s="98"/>
      <c r="K9" s="98"/>
      <c r="L9" s="98"/>
      <c r="M9" s="101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</row>
    <row r="10" spans="1:33" ht="13.5" thickTop="1" x14ac:dyDescent="0.2">
      <c r="A10" s="94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100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</row>
    <row r="11" spans="1:33" x14ac:dyDescent="0.2">
      <c r="A11" s="94"/>
      <c r="B11" s="147" t="s">
        <v>13</v>
      </c>
      <c r="C11" s="147"/>
      <c r="D11" s="147"/>
      <c r="E11" s="147"/>
      <c r="F11" s="147" t="s">
        <v>14</v>
      </c>
      <c r="G11" s="147" t="s">
        <v>15</v>
      </c>
      <c r="H11" s="147"/>
      <c r="I11" s="147" t="s">
        <v>16</v>
      </c>
      <c r="J11" s="147"/>
      <c r="K11" s="147"/>
      <c r="L11" s="97"/>
      <c r="M11" s="100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</row>
    <row r="12" spans="1:33" x14ac:dyDescent="0.2">
      <c r="A12" s="94"/>
      <c r="B12" s="147"/>
      <c r="C12" s="147"/>
      <c r="D12" s="147"/>
      <c r="E12" s="147"/>
      <c r="F12" s="147"/>
      <c r="G12" s="117" t="s">
        <v>3</v>
      </c>
      <c r="H12" s="117" t="s">
        <v>4</v>
      </c>
      <c r="I12" s="118" t="s">
        <v>3</v>
      </c>
      <c r="J12" s="118" t="s">
        <v>4</v>
      </c>
      <c r="K12" s="118" t="s">
        <v>17</v>
      </c>
      <c r="L12" s="97"/>
      <c r="M12" s="100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</row>
    <row r="13" spans="1:33" x14ac:dyDescent="0.2">
      <c r="A13" s="94"/>
      <c r="B13" s="144" t="s">
        <v>18</v>
      </c>
      <c r="C13" s="144"/>
      <c r="D13" s="144"/>
      <c r="E13" s="144"/>
      <c r="F13" s="107" t="s">
        <v>19</v>
      </c>
      <c r="G13" s="108">
        <v>0.28999999999999998</v>
      </c>
      <c r="H13" s="108">
        <v>0.15</v>
      </c>
      <c r="I13" s="109">
        <f t="shared" ref="I13:I29" si="0">ROUND(G13*DieselChange,2)</f>
        <v>0</v>
      </c>
      <c r="J13" s="109">
        <f>ROUND(H13*UnleadedChange,2)</f>
        <v>0</v>
      </c>
      <c r="K13" s="109">
        <f>I13+J13</f>
        <v>0</v>
      </c>
      <c r="L13" s="97"/>
      <c r="M13" s="100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</row>
    <row r="14" spans="1:33" x14ac:dyDescent="0.2">
      <c r="A14" s="94"/>
      <c r="B14" s="144" t="s">
        <v>20</v>
      </c>
      <c r="C14" s="144"/>
      <c r="D14" s="144"/>
      <c r="E14" s="144"/>
      <c r="F14" s="107" t="s">
        <v>19</v>
      </c>
      <c r="G14" s="108">
        <v>0.28999999999999998</v>
      </c>
      <c r="H14" s="108">
        <v>0.15</v>
      </c>
      <c r="I14" s="109">
        <f t="shared" si="0"/>
        <v>0</v>
      </c>
      <c r="J14" s="109">
        <f t="shared" ref="J14:J29" si="1">ROUND(H14*UnleadedChange,2)</f>
        <v>0</v>
      </c>
      <c r="K14" s="109">
        <f t="shared" ref="K14:K29" si="2">I14+J14</f>
        <v>0</v>
      </c>
      <c r="L14" s="97"/>
      <c r="M14" s="100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</row>
    <row r="15" spans="1:33" x14ac:dyDescent="0.2">
      <c r="A15" s="94"/>
      <c r="B15" s="144" t="s">
        <v>21</v>
      </c>
      <c r="C15" s="144"/>
      <c r="D15" s="144"/>
      <c r="E15" s="144"/>
      <c r="F15" s="107" t="s">
        <v>22</v>
      </c>
      <c r="G15" s="108">
        <v>0.05</v>
      </c>
      <c r="H15" s="108">
        <v>0.02</v>
      </c>
      <c r="I15" s="109">
        <f t="shared" si="0"/>
        <v>0</v>
      </c>
      <c r="J15" s="109">
        <f t="shared" si="1"/>
        <v>0</v>
      </c>
      <c r="K15" s="109">
        <f t="shared" si="2"/>
        <v>0</v>
      </c>
      <c r="L15" s="97"/>
      <c r="M15" s="100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</row>
    <row r="16" spans="1:33" x14ac:dyDescent="0.2">
      <c r="A16" s="94"/>
      <c r="B16" s="144" t="s">
        <v>23</v>
      </c>
      <c r="C16" s="144"/>
      <c r="D16" s="144"/>
      <c r="E16" s="144"/>
      <c r="F16" s="107" t="s">
        <v>22</v>
      </c>
      <c r="G16" s="108">
        <v>0.06</v>
      </c>
      <c r="H16" s="108">
        <v>0.03</v>
      </c>
      <c r="I16" s="109">
        <f t="shared" si="0"/>
        <v>0</v>
      </c>
      <c r="J16" s="109">
        <f t="shared" si="1"/>
        <v>0</v>
      </c>
      <c r="K16" s="109">
        <f t="shared" si="2"/>
        <v>0</v>
      </c>
      <c r="L16" s="97"/>
      <c r="M16" s="100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</row>
    <row r="17" spans="1:33" x14ac:dyDescent="0.2">
      <c r="A17" s="94"/>
      <c r="B17" s="144" t="s">
        <v>24</v>
      </c>
      <c r="C17" s="144"/>
      <c r="D17" s="144"/>
      <c r="E17" s="144"/>
      <c r="F17" s="107" t="s">
        <v>22</v>
      </c>
      <c r="G17" s="108">
        <v>0.1</v>
      </c>
      <c r="H17" s="108">
        <v>0.06</v>
      </c>
      <c r="I17" s="109">
        <f t="shared" si="0"/>
        <v>0</v>
      </c>
      <c r="J17" s="109">
        <f t="shared" si="1"/>
        <v>0</v>
      </c>
      <c r="K17" s="109">
        <f t="shared" si="2"/>
        <v>0</v>
      </c>
      <c r="L17" s="97"/>
      <c r="M17" s="100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</row>
    <row r="18" spans="1:33" x14ac:dyDescent="0.2">
      <c r="A18" s="94"/>
      <c r="B18" s="144" t="s">
        <v>25</v>
      </c>
      <c r="C18" s="144"/>
      <c r="D18" s="144"/>
      <c r="E18" s="144"/>
      <c r="F18" s="107" t="s">
        <v>22</v>
      </c>
      <c r="G18" s="108">
        <v>0.13</v>
      </c>
      <c r="H18" s="108">
        <v>0.06</v>
      </c>
      <c r="I18" s="109">
        <f t="shared" si="0"/>
        <v>0</v>
      </c>
      <c r="J18" s="109">
        <f t="shared" si="1"/>
        <v>0</v>
      </c>
      <c r="K18" s="109">
        <f t="shared" si="2"/>
        <v>0</v>
      </c>
      <c r="L18" s="97"/>
      <c r="M18" s="100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</row>
    <row r="19" spans="1:33" x14ac:dyDescent="0.2">
      <c r="A19" s="94"/>
      <c r="B19" s="144" t="s">
        <v>91</v>
      </c>
      <c r="C19" s="144"/>
      <c r="D19" s="144"/>
      <c r="E19" s="144"/>
      <c r="F19" s="107" t="s">
        <v>22</v>
      </c>
      <c r="G19" s="108">
        <v>0.16</v>
      </c>
      <c r="H19" s="108">
        <v>0.1</v>
      </c>
      <c r="I19" s="109">
        <f>ROUND(G19*DieselChange,2)</f>
        <v>0</v>
      </c>
      <c r="J19" s="109">
        <f>ROUND(H19*UnleadedChange,2)</f>
        <v>0</v>
      </c>
      <c r="K19" s="109">
        <f>I19+J19</f>
        <v>0</v>
      </c>
      <c r="L19" s="97"/>
      <c r="M19" s="100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</row>
    <row r="20" spans="1:33" x14ac:dyDescent="0.2">
      <c r="A20" s="94"/>
      <c r="B20" s="144" t="s">
        <v>26</v>
      </c>
      <c r="C20" s="144"/>
      <c r="D20" s="144"/>
      <c r="E20" s="144"/>
      <c r="F20" s="107" t="s">
        <v>27</v>
      </c>
      <c r="G20" s="108">
        <v>2.9</v>
      </c>
      <c r="H20" s="108">
        <v>0.71</v>
      </c>
      <c r="I20" s="109">
        <f t="shared" si="0"/>
        <v>0</v>
      </c>
      <c r="J20" s="109">
        <f t="shared" si="1"/>
        <v>0</v>
      </c>
      <c r="K20" s="109">
        <f t="shared" si="2"/>
        <v>0</v>
      </c>
      <c r="L20" s="97"/>
      <c r="M20" s="100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</row>
    <row r="21" spans="1:33" x14ac:dyDescent="0.2">
      <c r="A21" s="94"/>
      <c r="B21" s="144" t="s">
        <v>28</v>
      </c>
      <c r="C21" s="144"/>
      <c r="D21" s="144"/>
      <c r="E21" s="144"/>
      <c r="F21" s="107" t="s">
        <v>22</v>
      </c>
      <c r="G21" s="108">
        <v>0.64</v>
      </c>
      <c r="H21" s="108">
        <v>0.16</v>
      </c>
      <c r="I21" s="109">
        <f t="shared" si="0"/>
        <v>0</v>
      </c>
      <c r="J21" s="109">
        <f t="shared" si="1"/>
        <v>0</v>
      </c>
      <c r="K21" s="109">
        <f t="shared" si="2"/>
        <v>0</v>
      </c>
      <c r="L21" s="97"/>
      <c r="M21" s="100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</row>
    <row r="22" spans="1:33" x14ac:dyDescent="0.2">
      <c r="A22" s="94"/>
      <c r="B22" s="144" t="s">
        <v>29</v>
      </c>
      <c r="C22" s="144"/>
      <c r="D22" s="144"/>
      <c r="E22" s="144"/>
      <c r="F22" s="107" t="s">
        <v>22</v>
      </c>
      <c r="G22" s="108">
        <v>0.96</v>
      </c>
      <c r="H22" s="108">
        <v>0.23</v>
      </c>
      <c r="I22" s="109">
        <f t="shared" si="0"/>
        <v>0</v>
      </c>
      <c r="J22" s="109">
        <f t="shared" si="1"/>
        <v>0</v>
      </c>
      <c r="K22" s="109">
        <f t="shared" si="2"/>
        <v>0</v>
      </c>
      <c r="L22" s="97"/>
      <c r="M22" s="100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</row>
    <row r="23" spans="1:33" x14ac:dyDescent="0.2">
      <c r="A23" s="94"/>
      <c r="B23" s="144" t="s">
        <v>30</v>
      </c>
      <c r="C23" s="144"/>
      <c r="D23" s="144"/>
      <c r="E23" s="144"/>
      <c r="F23" s="107" t="s">
        <v>22</v>
      </c>
      <c r="G23" s="108">
        <v>1.28</v>
      </c>
      <c r="H23" s="108">
        <v>0.31</v>
      </c>
      <c r="I23" s="109">
        <f t="shared" si="0"/>
        <v>0</v>
      </c>
      <c r="J23" s="109">
        <f t="shared" si="1"/>
        <v>0</v>
      </c>
      <c r="K23" s="109">
        <f t="shared" si="2"/>
        <v>0</v>
      </c>
      <c r="L23" s="97"/>
      <c r="M23" s="100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</row>
    <row r="24" spans="1:33" x14ac:dyDescent="0.2">
      <c r="A24" s="94"/>
      <c r="B24" s="144" t="s">
        <v>31</v>
      </c>
      <c r="C24" s="144"/>
      <c r="D24" s="144"/>
      <c r="E24" s="144"/>
      <c r="F24" s="107" t="s">
        <v>22</v>
      </c>
      <c r="G24" s="108">
        <v>1.6</v>
      </c>
      <c r="H24" s="108">
        <v>0.39</v>
      </c>
      <c r="I24" s="109">
        <f t="shared" si="0"/>
        <v>0</v>
      </c>
      <c r="J24" s="109">
        <f t="shared" si="1"/>
        <v>0</v>
      </c>
      <c r="K24" s="109">
        <f t="shared" si="2"/>
        <v>0</v>
      </c>
      <c r="L24" s="97"/>
      <c r="M24" s="100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</row>
    <row r="25" spans="1:33" x14ac:dyDescent="0.2">
      <c r="A25" s="94"/>
      <c r="B25" s="144" t="s">
        <v>32</v>
      </c>
      <c r="C25" s="144"/>
      <c r="D25" s="144"/>
      <c r="E25" s="144"/>
      <c r="F25" s="107" t="s">
        <v>22</v>
      </c>
      <c r="G25" s="108">
        <v>1.91</v>
      </c>
      <c r="H25" s="108">
        <v>0.47</v>
      </c>
      <c r="I25" s="109">
        <f t="shared" si="0"/>
        <v>0</v>
      </c>
      <c r="J25" s="109">
        <f t="shared" si="1"/>
        <v>0</v>
      </c>
      <c r="K25" s="109">
        <f t="shared" si="2"/>
        <v>0</v>
      </c>
      <c r="L25" s="97"/>
      <c r="M25" s="100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</row>
    <row r="26" spans="1:33" x14ac:dyDescent="0.2">
      <c r="A26" s="94"/>
      <c r="B26" s="144" t="s">
        <v>33</v>
      </c>
      <c r="C26" s="144"/>
      <c r="D26" s="144"/>
      <c r="E26" s="144"/>
      <c r="F26" s="107" t="s">
        <v>22</v>
      </c>
      <c r="G26" s="108">
        <v>0.25</v>
      </c>
      <c r="H26" s="108">
        <v>0.2</v>
      </c>
      <c r="I26" s="109">
        <f t="shared" si="0"/>
        <v>0</v>
      </c>
      <c r="J26" s="109">
        <f t="shared" si="1"/>
        <v>0</v>
      </c>
      <c r="K26" s="109">
        <f t="shared" si="2"/>
        <v>0</v>
      </c>
      <c r="L26" s="97"/>
      <c r="M26" s="100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</row>
    <row r="27" spans="1:33" x14ac:dyDescent="0.2">
      <c r="A27" s="94"/>
      <c r="B27" s="144" t="s">
        <v>34</v>
      </c>
      <c r="C27" s="144"/>
      <c r="D27" s="144"/>
      <c r="E27" s="144"/>
      <c r="F27" s="107" t="s">
        <v>19</v>
      </c>
      <c r="G27" s="108">
        <v>1</v>
      </c>
      <c r="H27" s="108">
        <v>0.2</v>
      </c>
      <c r="I27" s="109">
        <f t="shared" si="0"/>
        <v>0</v>
      </c>
      <c r="J27" s="109">
        <f t="shared" si="1"/>
        <v>0</v>
      </c>
      <c r="K27" s="109">
        <f t="shared" si="2"/>
        <v>0</v>
      </c>
      <c r="L27" s="97"/>
      <c r="M27" s="100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</row>
    <row r="28" spans="1:33" x14ac:dyDescent="0.2">
      <c r="A28" s="94"/>
      <c r="B28" s="144" t="s">
        <v>35</v>
      </c>
      <c r="C28" s="144"/>
      <c r="D28" s="144"/>
      <c r="E28" s="144"/>
      <c r="F28" s="107" t="s">
        <v>36</v>
      </c>
      <c r="G28" s="108">
        <v>0.5</v>
      </c>
      <c r="H28" s="108">
        <v>0.15</v>
      </c>
      <c r="I28" s="109">
        <f t="shared" si="0"/>
        <v>0</v>
      </c>
      <c r="J28" s="109">
        <f t="shared" si="1"/>
        <v>0</v>
      </c>
      <c r="K28" s="109">
        <f t="shared" si="2"/>
        <v>0</v>
      </c>
      <c r="L28" s="97"/>
      <c r="M28" s="100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</row>
    <row r="29" spans="1:33" x14ac:dyDescent="0.2">
      <c r="A29" s="94"/>
      <c r="B29" s="144" t="s">
        <v>37</v>
      </c>
      <c r="C29" s="144"/>
      <c r="D29" s="144"/>
      <c r="E29" s="144"/>
      <c r="F29" s="107" t="s">
        <v>36</v>
      </c>
      <c r="G29" s="108">
        <v>0.75</v>
      </c>
      <c r="H29" s="108">
        <v>0.15</v>
      </c>
      <c r="I29" s="109">
        <f t="shared" si="0"/>
        <v>0</v>
      </c>
      <c r="J29" s="109">
        <f t="shared" si="1"/>
        <v>0</v>
      </c>
      <c r="K29" s="109">
        <f t="shared" si="2"/>
        <v>0</v>
      </c>
      <c r="L29" s="97"/>
      <c r="M29" s="100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</row>
    <row r="30" spans="1:33" x14ac:dyDescent="0.2">
      <c r="A30" s="94"/>
      <c r="B30" s="144" t="s">
        <v>92</v>
      </c>
      <c r="C30" s="144"/>
      <c r="D30" s="144"/>
      <c r="E30" s="144"/>
      <c r="F30" s="107" t="s">
        <v>19</v>
      </c>
      <c r="G30" s="108">
        <v>2.8</v>
      </c>
      <c r="H30" s="108">
        <v>0</v>
      </c>
      <c r="I30" s="109">
        <f t="shared" ref="I30" si="3">ROUND(G30*DieselChange,2)</f>
        <v>0</v>
      </c>
      <c r="J30" s="109">
        <f t="shared" ref="J30" si="4">ROUND(H30*UnleadedChange,2)</f>
        <v>0</v>
      </c>
      <c r="K30" s="109">
        <f t="shared" ref="K30" si="5">I30+J30</f>
        <v>0</v>
      </c>
      <c r="L30" s="97"/>
      <c r="M30" s="100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</row>
    <row r="31" spans="1:33" ht="13.5" thickBot="1" x14ac:dyDescent="0.25">
      <c r="A31" s="95"/>
      <c r="B31" s="119" t="s">
        <v>38</v>
      </c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101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</row>
    <row r="32" spans="1:33" ht="13.5" thickTop="1" x14ac:dyDescent="0.2">
      <c r="A32" s="120"/>
      <c r="B32" s="97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9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</row>
    <row r="33" spans="1:33" x14ac:dyDescent="0.2">
      <c r="A33" s="94"/>
      <c r="B33" s="148" t="s">
        <v>39</v>
      </c>
      <c r="C33" s="149"/>
      <c r="D33" s="149"/>
      <c r="E33" s="150"/>
      <c r="F33" s="147" t="s">
        <v>14</v>
      </c>
      <c r="G33" s="146" t="s">
        <v>40</v>
      </c>
      <c r="H33" s="146"/>
      <c r="I33" s="146" t="s">
        <v>41</v>
      </c>
      <c r="J33" s="146"/>
      <c r="K33" s="127"/>
      <c r="L33" s="128"/>
      <c r="M33" s="12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</row>
    <row r="34" spans="1:33" x14ac:dyDescent="0.2">
      <c r="A34" s="94"/>
      <c r="B34" s="151"/>
      <c r="C34" s="152"/>
      <c r="D34" s="152"/>
      <c r="E34" s="153"/>
      <c r="F34" s="147"/>
      <c r="G34" s="146"/>
      <c r="H34" s="146"/>
      <c r="I34" s="146"/>
      <c r="J34" s="146"/>
      <c r="K34" s="128"/>
      <c r="L34" s="128"/>
      <c r="M34" s="12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</row>
    <row r="35" spans="1:33" x14ac:dyDescent="0.2">
      <c r="A35" s="94"/>
      <c r="B35" s="144" t="s">
        <v>42</v>
      </c>
      <c r="C35" s="144"/>
      <c r="D35" s="144"/>
      <c r="E35" s="144"/>
      <c r="F35" s="107" t="s">
        <v>27</v>
      </c>
      <c r="G35" s="145">
        <v>1</v>
      </c>
      <c r="H35" s="145"/>
      <c r="I35" s="139">
        <f t="shared" ref="I35:I41" si="6">ROUND((G35*AsphaltBinderChange),2)</f>
        <v>0</v>
      </c>
      <c r="J35" s="140"/>
      <c r="K35" s="128"/>
      <c r="L35" s="128"/>
      <c r="M35" s="12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</row>
    <row r="36" spans="1:33" x14ac:dyDescent="0.2">
      <c r="A36" s="94"/>
      <c r="B36" s="144" t="s">
        <v>43</v>
      </c>
      <c r="C36" s="144"/>
      <c r="D36" s="144"/>
      <c r="E36" s="144"/>
      <c r="F36" s="107" t="s">
        <v>27</v>
      </c>
      <c r="G36" s="145">
        <v>1</v>
      </c>
      <c r="H36" s="145"/>
      <c r="I36" s="139">
        <f t="shared" si="6"/>
        <v>0</v>
      </c>
      <c r="J36" s="140"/>
      <c r="K36" s="128"/>
      <c r="L36" s="128"/>
      <c r="M36" s="12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</row>
    <row r="37" spans="1:33" x14ac:dyDescent="0.2">
      <c r="A37" s="94"/>
      <c r="B37" s="144" t="s">
        <v>44</v>
      </c>
      <c r="C37" s="144"/>
      <c r="D37" s="144"/>
      <c r="E37" s="144"/>
      <c r="F37" s="107" t="s">
        <v>22</v>
      </c>
      <c r="G37" s="145">
        <v>1.0999999999999999E-2</v>
      </c>
      <c r="H37" s="145"/>
      <c r="I37" s="139">
        <f t="shared" si="6"/>
        <v>0</v>
      </c>
      <c r="J37" s="140"/>
      <c r="K37" s="128"/>
      <c r="L37" s="128"/>
      <c r="M37" s="12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</row>
    <row r="38" spans="1:33" x14ac:dyDescent="0.2">
      <c r="A38" s="94"/>
      <c r="B38" s="144" t="s">
        <v>45</v>
      </c>
      <c r="C38" s="144"/>
      <c r="D38" s="144"/>
      <c r="E38" s="144"/>
      <c r="F38" s="107" t="s">
        <v>22</v>
      </c>
      <c r="G38" s="145">
        <v>1.6500000000000001E-2</v>
      </c>
      <c r="H38" s="145"/>
      <c r="I38" s="139">
        <f t="shared" si="6"/>
        <v>0</v>
      </c>
      <c r="J38" s="140"/>
      <c r="K38" s="128"/>
      <c r="L38" s="128"/>
      <c r="M38" s="12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</row>
    <row r="39" spans="1:33" x14ac:dyDescent="0.2">
      <c r="A39" s="94"/>
      <c r="B39" s="144" t="s">
        <v>46</v>
      </c>
      <c r="C39" s="144"/>
      <c r="D39" s="144"/>
      <c r="E39" s="144"/>
      <c r="F39" s="107" t="s">
        <v>22</v>
      </c>
      <c r="G39" s="145">
        <v>2.1999999999999999E-2</v>
      </c>
      <c r="H39" s="145"/>
      <c r="I39" s="139">
        <f t="shared" si="6"/>
        <v>0</v>
      </c>
      <c r="J39" s="140"/>
      <c r="K39" s="128"/>
      <c r="L39" s="128"/>
      <c r="M39" s="12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</row>
    <row r="40" spans="1:33" x14ac:dyDescent="0.2">
      <c r="A40" s="94"/>
      <c r="B40" s="144" t="s">
        <v>47</v>
      </c>
      <c r="C40" s="144"/>
      <c r="D40" s="144"/>
      <c r="E40" s="144"/>
      <c r="F40" s="107" t="s">
        <v>22</v>
      </c>
      <c r="G40" s="145">
        <v>2.75E-2</v>
      </c>
      <c r="H40" s="145"/>
      <c r="I40" s="139">
        <f t="shared" si="6"/>
        <v>0</v>
      </c>
      <c r="J40" s="140"/>
      <c r="K40" s="128"/>
      <c r="L40" s="128"/>
      <c r="M40" s="12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</row>
    <row r="41" spans="1:33" x14ac:dyDescent="0.2">
      <c r="A41" s="94"/>
      <c r="B41" s="144" t="s">
        <v>48</v>
      </c>
      <c r="C41" s="144"/>
      <c r="D41" s="144"/>
      <c r="E41" s="144"/>
      <c r="F41" s="107" t="s">
        <v>22</v>
      </c>
      <c r="G41" s="145">
        <v>3.3000000000000002E-2</v>
      </c>
      <c r="H41" s="145"/>
      <c r="I41" s="139">
        <f t="shared" si="6"/>
        <v>0</v>
      </c>
      <c r="J41" s="140"/>
      <c r="K41" s="128"/>
      <c r="L41" s="128"/>
      <c r="M41" s="12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</row>
    <row r="42" spans="1:33" x14ac:dyDescent="0.2">
      <c r="A42" s="94"/>
      <c r="B42" s="110" t="s">
        <v>78</v>
      </c>
      <c r="C42" s="110"/>
      <c r="D42" s="110"/>
      <c r="E42" s="110"/>
      <c r="F42" s="107" t="s">
        <v>22</v>
      </c>
      <c r="G42" s="141">
        <v>7.7446808510638304E-4</v>
      </c>
      <c r="H42" s="138"/>
      <c r="I42" s="139">
        <f t="shared" ref="I42:I53" si="7">ROUND((G42*AsphaltBinderChange),2)</f>
        <v>0</v>
      </c>
      <c r="J42" s="140"/>
      <c r="K42" s="128"/>
      <c r="L42" s="128"/>
      <c r="M42" s="12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</row>
    <row r="43" spans="1:33" x14ac:dyDescent="0.2">
      <c r="A43" s="94"/>
      <c r="B43" s="111" t="s">
        <v>84</v>
      </c>
      <c r="C43" s="112"/>
      <c r="D43" s="112"/>
      <c r="E43" s="113"/>
      <c r="F43" s="107" t="s">
        <v>22</v>
      </c>
      <c r="G43" s="142">
        <v>2.2680851063829801E-3</v>
      </c>
      <c r="H43" s="143"/>
      <c r="I43" s="139">
        <f>ROUND((G43*AsphaltBinderChange),2)</f>
        <v>0</v>
      </c>
      <c r="J43" s="140"/>
      <c r="K43" s="128"/>
      <c r="L43" s="128"/>
      <c r="M43" s="12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</row>
    <row r="44" spans="1:33" x14ac:dyDescent="0.2">
      <c r="A44" s="94"/>
      <c r="B44" s="111" t="s">
        <v>83</v>
      </c>
      <c r="C44" s="112"/>
      <c r="D44" s="112"/>
      <c r="E44" s="113"/>
      <c r="F44" s="107" t="s">
        <v>22</v>
      </c>
      <c r="G44" s="142">
        <v>2.68297872340426E-3</v>
      </c>
      <c r="H44" s="143"/>
      <c r="I44" s="139">
        <f>ROUND((G44*AsphaltBinderChange),2)</f>
        <v>0</v>
      </c>
      <c r="J44" s="140"/>
      <c r="K44" s="128"/>
      <c r="L44" s="128"/>
      <c r="M44" s="12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</row>
    <row r="45" spans="1:33" x14ac:dyDescent="0.2">
      <c r="A45" s="94"/>
      <c r="B45" s="111" t="s">
        <v>82</v>
      </c>
      <c r="C45" s="112"/>
      <c r="D45" s="112"/>
      <c r="E45" s="113"/>
      <c r="F45" s="107" t="s">
        <v>22</v>
      </c>
      <c r="G45" s="142">
        <v>1.5212765957446799E-3</v>
      </c>
      <c r="H45" s="143"/>
      <c r="I45" s="139">
        <f>ROUND((G45*AsphaltBinderChange),2)</f>
        <v>0</v>
      </c>
      <c r="J45" s="140"/>
      <c r="K45" s="128"/>
      <c r="L45" s="128"/>
      <c r="M45" s="12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</row>
    <row r="46" spans="1:33" x14ac:dyDescent="0.2">
      <c r="A46" s="94"/>
      <c r="B46" s="111" t="s">
        <v>81</v>
      </c>
      <c r="C46" s="112"/>
      <c r="D46" s="112"/>
      <c r="E46" s="113"/>
      <c r="F46" s="107" t="s">
        <v>22</v>
      </c>
      <c r="G46" s="142">
        <v>1.2723404255319201E-3</v>
      </c>
      <c r="H46" s="143"/>
      <c r="I46" s="139">
        <f>ROUND((G46*AsphaltBinderChange),2)</f>
        <v>0</v>
      </c>
      <c r="J46" s="140"/>
      <c r="K46" s="128"/>
      <c r="L46" s="128"/>
      <c r="M46" s="12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</row>
    <row r="47" spans="1:33" x14ac:dyDescent="0.2">
      <c r="A47" s="94"/>
      <c r="B47" s="111" t="s">
        <v>80</v>
      </c>
      <c r="C47" s="112"/>
      <c r="D47" s="112"/>
      <c r="E47" s="113"/>
      <c r="F47" s="114" t="s">
        <v>22</v>
      </c>
      <c r="G47" s="142">
        <v>1.3276595744680852E-3</v>
      </c>
      <c r="H47" s="143"/>
      <c r="I47" s="139">
        <f t="shared" si="7"/>
        <v>0</v>
      </c>
      <c r="J47" s="140"/>
      <c r="K47" s="128"/>
      <c r="L47" s="128"/>
      <c r="M47" s="12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</row>
    <row r="48" spans="1:33" x14ac:dyDescent="0.2">
      <c r="A48" s="94"/>
      <c r="B48" s="115" t="s">
        <v>75</v>
      </c>
      <c r="C48" s="115"/>
      <c r="D48" s="115"/>
      <c r="E48" s="115"/>
      <c r="F48" s="107" t="s">
        <v>22</v>
      </c>
      <c r="G48" s="141">
        <v>2.3510638297872342E-3</v>
      </c>
      <c r="H48" s="138"/>
      <c r="I48" s="139">
        <f t="shared" si="7"/>
        <v>0</v>
      </c>
      <c r="J48" s="140"/>
      <c r="K48" s="128"/>
      <c r="L48" s="128"/>
      <c r="M48" s="12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</row>
    <row r="49" spans="1:33" x14ac:dyDescent="0.2">
      <c r="A49" s="94"/>
      <c r="B49" s="116" t="s">
        <v>76</v>
      </c>
      <c r="C49" s="116"/>
      <c r="D49" s="116"/>
      <c r="E49" s="116"/>
      <c r="F49" s="107" t="s">
        <v>22</v>
      </c>
      <c r="G49" s="141">
        <v>1.9638297872340425E-3</v>
      </c>
      <c r="H49" s="138"/>
      <c r="I49" s="139">
        <f t="shared" si="7"/>
        <v>0</v>
      </c>
      <c r="J49" s="140"/>
      <c r="K49" s="128"/>
      <c r="L49" s="128"/>
      <c r="M49" s="12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</row>
    <row r="50" spans="1:33" x14ac:dyDescent="0.2">
      <c r="A50" s="94"/>
      <c r="B50" s="116" t="s">
        <v>77</v>
      </c>
      <c r="C50" s="116"/>
      <c r="D50" s="116"/>
      <c r="E50" s="116"/>
      <c r="F50" s="107" t="s">
        <v>22</v>
      </c>
      <c r="G50" s="141">
        <v>2.2680851063829788E-3</v>
      </c>
      <c r="H50" s="138"/>
      <c r="I50" s="139">
        <f t="shared" si="7"/>
        <v>0</v>
      </c>
      <c r="J50" s="140"/>
      <c r="K50" s="128"/>
      <c r="L50" s="128"/>
      <c r="M50" s="12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</row>
    <row r="51" spans="1:33" x14ac:dyDescent="0.2">
      <c r="A51" s="94"/>
      <c r="B51" s="158" t="s">
        <v>71</v>
      </c>
      <c r="C51" s="135"/>
      <c r="D51" s="135"/>
      <c r="E51" s="136"/>
      <c r="F51" s="107" t="s">
        <v>22</v>
      </c>
      <c r="G51" s="141">
        <v>7.2000000000000005E-4</v>
      </c>
      <c r="H51" s="138"/>
      <c r="I51" s="139">
        <f t="shared" si="7"/>
        <v>0</v>
      </c>
      <c r="J51" s="140"/>
      <c r="K51" s="128"/>
      <c r="L51" s="128"/>
      <c r="M51" s="12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</row>
    <row r="52" spans="1:33" x14ac:dyDescent="0.2">
      <c r="A52" s="94"/>
      <c r="B52" s="158" t="s">
        <v>72</v>
      </c>
      <c r="C52" s="135"/>
      <c r="D52" s="135"/>
      <c r="E52" s="136"/>
      <c r="F52" s="107" t="s">
        <v>27</v>
      </c>
      <c r="G52" s="141">
        <v>0.08</v>
      </c>
      <c r="H52" s="159"/>
      <c r="I52" s="139">
        <f t="shared" si="7"/>
        <v>0</v>
      </c>
      <c r="J52" s="140"/>
      <c r="K52" s="128"/>
      <c r="L52" s="128"/>
      <c r="M52" s="12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</row>
    <row r="53" spans="1:33" x14ac:dyDescent="0.2">
      <c r="A53" s="94"/>
      <c r="B53" s="158" t="s">
        <v>73</v>
      </c>
      <c r="C53" s="135"/>
      <c r="D53" s="135"/>
      <c r="E53" s="136"/>
      <c r="F53" s="107" t="s">
        <v>74</v>
      </c>
      <c r="G53" s="141">
        <v>2.8E-3</v>
      </c>
      <c r="H53" s="138"/>
      <c r="I53" s="139">
        <f t="shared" si="7"/>
        <v>0</v>
      </c>
      <c r="J53" s="140"/>
      <c r="K53" s="128"/>
      <c r="L53" s="128"/>
      <c r="M53" s="12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</row>
    <row r="54" spans="1:33" x14ac:dyDescent="0.2">
      <c r="A54" s="94"/>
      <c r="B54" s="134" t="s">
        <v>90</v>
      </c>
      <c r="C54" s="135"/>
      <c r="D54" s="135"/>
      <c r="E54" s="136"/>
      <c r="F54" s="130" t="s">
        <v>22</v>
      </c>
      <c r="G54" s="137">
        <v>2.5999999999999999E-3</v>
      </c>
      <c r="H54" s="138"/>
      <c r="I54" s="139">
        <f>ROUND((G54*AsphaltBinderChange),2)</f>
        <v>0</v>
      </c>
      <c r="J54" s="140"/>
      <c r="K54" s="128"/>
      <c r="L54" s="128"/>
      <c r="M54" s="12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</row>
    <row r="55" spans="1:33" x14ac:dyDescent="0.2">
      <c r="A55" s="94"/>
      <c r="B55" s="122" t="s">
        <v>38</v>
      </c>
      <c r="C55" s="123"/>
      <c r="D55" s="123"/>
      <c r="E55" s="123"/>
      <c r="F55" s="124"/>
      <c r="G55" s="125"/>
      <c r="H55" s="125"/>
      <c r="I55" s="126"/>
      <c r="J55" s="126"/>
      <c r="K55" s="97"/>
      <c r="L55" s="97"/>
      <c r="M55" s="100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</row>
    <row r="56" spans="1:33" x14ac:dyDescent="0.2">
      <c r="A56" s="94"/>
      <c r="B56" s="122"/>
      <c r="C56" s="123"/>
      <c r="D56" s="123"/>
      <c r="E56" s="123"/>
      <c r="F56" s="124"/>
      <c r="G56" s="125"/>
      <c r="H56" s="125"/>
      <c r="I56" s="126"/>
      <c r="J56" s="126"/>
      <c r="K56" s="97"/>
      <c r="L56" s="97"/>
      <c r="M56" s="100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</row>
    <row r="57" spans="1:33" x14ac:dyDescent="0.2">
      <c r="A57" s="94"/>
      <c r="B57" s="122"/>
      <c r="C57" s="123"/>
      <c r="D57" s="123"/>
      <c r="E57" s="123"/>
      <c r="F57" s="124"/>
      <c r="G57" s="125"/>
      <c r="H57" s="125"/>
      <c r="I57" s="126"/>
      <c r="J57" s="126"/>
      <c r="K57" s="97"/>
      <c r="L57" s="97"/>
      <c r="M57" s="100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</row>
    <row r="58" spans="1:33" x14ac:dyDescent="0.2">
      <c r="A58" s="94"/>
      <c r="B58" s="122"/>
      <c r="C58" s="123"/>
      <c r="D58" s="123"/>
      <c r="E58" s="123"/>
      <c r="F58" s="124"/>
      <c r="G58" s="125"/>
      <c r="H58" s="125"/>
      <c r="I58" s="126"/>
      <c r="J58" s="126"/>
      <c r="K58" s="97"/>
      <c r="L58" s="97"/>
      <c r="M58" s="100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</row>
    <row r="59" spans="1:33" x14ac:dyDescent="0.2">
      <c r="A59" s="94"/>
      <c r="B59" s="122"/>
      <c r="C59" s="123"/>
      <c r="D59" s="123"/>
      <c r="E59" s="123"/>
      <c r="F59" s="124"/>
      <c r="G59" s="125"/>
      <c r="H59" s="125"/>
      <c r="I59" s="126"/>
      <c r="J59" s="126"/>
      <c r="K59" s="97"/>
      <c r="L59" s="97"/>
      <c r="M59" s="100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</row>
    <row r="60" spans="1:33" x14ac:dyDescent="0.2">
      <c r="A60" s="94"/>
      <c r="B60" s="122"/>
      <c r="C60" s="123"/>
      <c r="D60" s="123"/>
      <c r="E60" s="123"/>
      <c r="F60" s="124"/>
      <c r="G60" s="125"/>
      <c r="H60" s="125"/>
      <c r="I60" s="126"/>
      <c r="J60" s="126"/>
      <c r="K60" s="97"/>
      <c r="L60" s="97"/>
      <c r="M60" s="100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</row>
    <row r="61" spans="1:33" x14ac:dyDescent="0.2">
      <c r="A61" s="94"/>
      <c r="B61" s="122"/>
      <c r="C61" s="123"/>
      <c r="D61" s="123"/>
      <c r="E61" s="123"/>
      <c r="F61" s="124"/>
      <c r="G61" s="125"/>
      <c r="H61" s="125"/>
      <c r="I61" s="126"/>
      <c r="J61" s="126"/>
      <c r="K61" s="97"/>
      <c r="L61" s="97"/>
      <c r="M61" s="100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</row>
    <row r="62" spans="1:33" x14ac:dyDescent="0.2">
      <c r="A62" s="94"/>
      <c r="B62" s="122"/>
      <c r="C62" s="123"/>
      <c r="D62" s="123"/>
      <c r="E62" s="123"/>
      <c r="F62" s="124"/>
      <c r="G62" s="125"/>
      <c r="H62" s="125"/>
      <c r="I62" s="126"/>
      <c r="J62" s="126"/>
      <c r="K62" s="97"/>
      <c r="L62" s="97"/>
      <c r="M62" s="100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</row>
    <row r="63" spans="1:33" x14ac:dyDescent="0.2">
      <c r="A63" s="94"/>
      <c r="B63" s="122"/>
      <c r="C63" s="123"/>
      <c r="D63" s="123"/>
      <c r="E63" s="123"/>
      <c r="F63" s="124"/>
      <c r="G63" s="125"/>
      <c r="H63" s="125"/>
      <c r="I63" s="126"/>
      <c r="J63" s="126"/>
      <c r="K63" s="97"/>
      <c r="L63" s="97"/>
      <c r="M63" s="100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</row>
    <row r="64" spans="1:33" ht="13.5" thickBot="1" x14ac:dyDescent="0.25">
      <c r="A64" s="95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101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</row>
    <row r="65" spans="1:33" ht="13.5" thickTop="1" x14ac:dyDescent="0.2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</row>
    <row r="66" spans="1:33" x14ac:dyDescent="0.2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</row>
    <row r="67" spans="1:33" x14ac:dyDescent="0.2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</row>
    <row r="68" spans="1:33" x14ac:dyDescent="0.2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</row>
    <row r="69" spans="1:33" x14ac:dyDescent="0.2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</row>
    <row r="70" spans="1:33" x14ac:dyDescent="0.2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79"/>
      <c r="AD70" s="79"/>
      <c r="AE70" s="79"/>
      <c r="AF70" s="79"/>
      <c r="AG70" s="79"/>
    </row>
    <row r="71" spans="1:33" x14ac:dyDescent="0.2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79"/>
    </row>
    <row r="72" spans="1:33" x14ac:dyDescent="0.2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79"/>
    </row>
    <row r="73" spans="1:33" x14ac:dyDescent="0.2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</row>
    <row r="74" spans="1:33" x14ac:dyDescent="0.2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</row>
    <row r="75" spans="1:33" x14ac:dyDescent="0.2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</row>
    <row r="76" spans="1:33" x14ac:dyDescent="0.2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79"/>
      <c r="AD76" s="79"/>
      <c r="AE76" s="79"/>
      <c r="AF76" s="79"/>
      <c r="AG76" s="79"/>
    </row>
    <row r="77" spans="1:33" x14ac:dyDescent="0.2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79"/>
    </row>
    <row r="78" spans="1:33" x14ac:dyDescent="0.2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79"/>
    </row>
    <row r="79" spans="1:33" x14ac:dyDescent="0.2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79"/>
    </row>
    <row r="80" spans="1:33" x14ac:dyDescent="0.2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</row>
    <row r="81" spans="1:33" x14ac:dyDescent="0.2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</row>
    <row r="82" spans="1:33" x14ac:dyDescent="0.2">
      <c r="A82" s="79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</row>
    <row r="83" spans="1:33" x14ac:dyDescent="0.2">
      <c r="A83" s="79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</row>
    <row r="84" spans="1:33" x14ac:dyDescent="0.2">
      <c r="A84" s="79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  <c r="AE84" s="79"/>
      <c r="AF84" s="79"/>
      <c r="AG84" s="79"/>
    </row>
    <row r="85" spans="1:33" x14ac:dyDescent="0.2">
      <c r="A85" s="79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  <c r="AE85" s="79"/>
      <c r="AF85" s="79"/>
      <c r="AG85" s="79"/>
    </row>
    <row r="86" spans="1:33" x14ac:dyDescent="0.2">
      <c r="A86" s="79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</row>
    <row r="87" spans="1:33" x14ac:dyDescent="0.2">
      <c r="A87" s="79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79"/>
    </row>
    <row r="88" spans="1:33" x14ac:dyDescent="0.2">
      <c r="A88" s="79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79"/>
    </row>
    <row r="89" spans="1:33" x14ac:dyDescent="0.2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79"/>
      <c r="AD89" s="79"/>
      <c r="AE89" s="79"/>
      <c r="AF89" s="79"/>
      <c r="AG89" s="79"/>
    </row>
    <row r="90" spans="1:33" x14ac:dyDescent="0.2">
      <c r="A90" s="79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79"/>
      <c r="AD90" s="79"/>
      <c r="AE90" s="79"/>
      <c r="AF90" s="79"/>
      <c r="AG90" s="79"/>
    </row>
    <row r="91" spans="1:33" x14ac:dyDescent="0.2">
      <c r="A91" s="79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79"/>
      <c r="AD91" s="79"/>
      <c r="AE91" s="79"/>
      <c r="AF91" s="79"/>
      <c r="AG91" s="79"/>
    </row>
    <row r="92" spans="1:33" x14ac:dyDescent="0.2">
      <c r="A92" s="79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79"/>
    </row>
    <row r="93" spans="1:33" x14ac:dyDescent="0.2">
      <c r="A93" s="79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79"/>
      <c r="AD93" s="79"/>
      <c r="AE93" s="79"/>
      <c r="AF93" s="79"/>
      <c r="AG93" s="79"/>
    </row>
    <row r="94" spans="1:33" x14ac:dyDescent="0.2">
      <c r="A94" s="79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  <c r="AD94" s="79"/>
      <c r="AE94" s="79"/>
      <c r="AF94" s="79"/>
      <c r="AG94" s="79"/>
    </row>
    <row r="95" spans="1:33" x14ac:dyDescent="0.2">
      <c r="A95" s="79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  <c r="AC95" s="79"/>
      <c r="AD95" s="79"/>
      <c r="AE95" s="79"/>
      <c r="AF95" s="79"/>
      <c r="AG95" s="79"/>
    </row>
    <row r="96" spans="1:33" x14ac:dyDescent="0.2">
      <c r="A96" s="79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  <c r="AC96" s="79"/>
      <c r="AD96" s="79"/>
      <c r="AE96" s="79"/>
      <c r="AF96" s="79"/>
      <c r="AG96" s="79"/>
    </row>
    <row r="97" spans="1:33" x14ac:dyDescent="0.2">
      <c r="A97" s="79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  <c r="AE97" s="79"/>
      <c r="AF97" s="79"/>
      <c r="AG97" s="79"/>
    </row>
    <row r="98" spans="1:33" x14ac:dyDescent="0.2">
      <c r="A98" s="79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  <c r="AC98" s="79"/>
      <c r="AD98" s="79"/>
      <c r="AE98" s="79"/>
      <c r="AF98" s="79"/>
      <c r="AG98" s="79"/>
    </row>
    <row r="99" spans="1:33" x14ac:dyDescent="0.2">
      <c r="A99" s="79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  <c r="AC99" s="79"/>
      <c r="AD99" s="79"/>
      <c r="AE99" s="79"/>
      <c r="AF99" s="79"/>
      <c r="AG99" s="79"/>
    </row>
    <row r="100" spans="1:33" x14ac:dyDescent="0.2">
      <c r="A100" s="79"/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  <c r="AC100" s="79"/>
      <c r="AD100" s="79"/>
      <c r="AE100" s="79"/>
      <c r="AF100" s="79"/>
      <c r="AG100" s="79"/>
    </row>
  </sheetData>
  <sheetProtection algorithmName="SHA-512" hashValue="ac2MunYThptoa2kvomXO/+4xtztDXT4wDzLbnYv/DI4ot8gcZziDvrsMtCjFTmiOQMMOyFh409mkeMJOA/4G6A==" saltValue="hdzwSF0n+2lZMHdfBixFPw==" spinCount="100000" sheet="1" objects="1" scenarios="1"/>
  <mergeCells count="80">
    <mergeCell ref="B53:E53"/>
    <mergeCell ref="G53:H53"/>
    <mergeCell ref="I53:J53"/>
    <mergeCell ref="B51:E51"/>
    <mergeCell ref="G51:H51"/>
    <mergeCell ref="I51:J51"/>
    <mergeCell ref="B52:E52"/>
    <mergeCell ref="G52:H52"/>
    <mergeCell ref="I52:J52"/>
    <mergeCell ref="B6:E6"/>
    <mergeCell ref="L7:L8"/>
    <mergeCell ref="B11:E12"/>
    <mergeCell ref="F11:F12"/>
    <mergeCell ref="G11:H11"/>
    <mergeCell ref="I11:K11"/>
    <mergeCell ref="H6:K6"/>
    <mergeCell ref="B25:E25"/>
    <mergeCell ref="B13:E13"/>
    <mergeCell ref="B14:E14"/>
    <mergeCell ref="B15:E15"/>
    <mergeCell ref="B16:E16"/>
    <mergeCell ref="B17:E17"/>
    <mergeCell ref="B18:E18"/>
    <mergeCell ref="B20:E20"/>
    <mergeCell ref="B21:E21"/>
    <mergeCell ref="B22:E22"/>
    <mergeCell ref="B23:E23"/>
    <mergeCell ref="B24:E24"/>
    <mergeCell ref="B26:E26"/>
    <mergeCell ref="B27:E27"/>
    <mergeCell ref="B28:E28"/>
    <mergeCell ref="B29:E29"/>
    <mergeCell ref="B33:E34"/>
    <mergeCell ref="B30:E30"/>
    <mergeCell ref="B41:E41"/>
    <mergeCell ref="G37:H37"/>
    <mergeCell ref="I37:J37"/>
    <mergeCell ref="G33:H34"/>
    <mergeCell ref="I33:J34"/>
    <mergeCell ref="B35:E35"/>
    <mergeCell ref="G35:H35"/>
    <mergeCell ref="I35:J35"/>
    <mergeCell ref="G39:H39"/>
    <mergeCell ref="I39:J39"/>
    <mergeCell ref="G36:H36"/>
    <mergeCell ref="I36:J36"/>
    <mergeCell ref="F33:F34"/>
    <mergeCell ref="B39:E39"/>
    <mergeCell ref="G43:H43"/>
    <mergeCell ref="I47:J47"/>
    <mergeCell ref="I44:J44"/>
    <mergeCell ref="I45:J45"/>
    <mergeCell ref="B19:E19"/>
    <mergeCell ref="B40:E40"/>
    <mergeCell ref="G40:H40"/>
    <mergeCell ref="I40:J40"/>
    <mergeCell ref="I46:J46"/>
    <mergeCell ref="G41:H41"/>
    <mergeCell ref="B38:E38"/>
    <mergeCell ref="G38:H38"/>
    <mergeCell ref="I38:J38"/>
    <mergeCell ref="I41:J41"/>
    <mergeCell ref="B37:E37"/>
    <mergeCell ref="B36:E36"/>
    <mergeCell ref="B54:E54"/>
    <mergeCell ref="G54:H54"/>
    <mergeCell ref="I54:J54"/>
    <mergeCell ref="G42:H42"/>
    <mergeCell ref="G49:H49"/>
    <mergeCell ref="I49:J49"/>
    <mergeCell ref="G50:H50"/>
    <mergeCell ref="I50:J50"/>
    <mergeCell ref="G47:H47"/>
    <mergeCell ref="I42:J42"/>
    <mergeCell ref="G45:H45"/>
    <mergeCell ref="G46:H46"/>
    <mergeCell ref="I43:J43"/>
    <mergeCell ref="G44:H44"/>
    <mergeCell ref="G48:H48"/>
    <mergeCell ref="I48:J48"/>
  </mergeCells>
  <phoneticPr fontId="0" type="noConversion"/>
  <dataValidations count="1">
    <dataValidation type="list" allowBlank="1" showInputMessage="1" showErrorMessage="1" sqref="B8 H8" xr:uid="{00000000-0002-0000-0000-000000000000}">
      <formula1>Validdates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424"/>
  <sheetViews>
    <sheetView zoomScale="130" zoomScaleNormal="130" workbookViewId="0">
      <pane ySplit="3" topLeftCell="A4" activePane="bottomLeft" state="frozen"/>
      <selection activeCell="N12" sqref="N12"/>
      <selection pane="bottomLeft" activeCell="B4" sqref="B4:E4"/>
    </sheetView>
  </sheetViews>
  <sheetFormatPr defaultRowHeight="12.75" x14ac:dyDescent="0.2"/>
  <cols>
    <col min="2" max="2" width="9.7109375" bestFit="1" customWidth="1"/>
    <col min="3" max="3" width="11.7109375" bestFit="1" customWidth="1"/>
    <col min="4" max="4" width="9.85546875" bestFit="1" customWidth="1"/>
    <col min="5" max="5" width="11.7109375" bestFit="1" customWidth="1"/>
  </cols>
  <sheetData>
    <row r="1" spans="1:6" x14ac:dyDescent="0.2">
      <c r="A1" s="1"/>
      <c r="B1" s="1"/>
      <c r="C1" s="1"/>
      <c r="D1" s="1"/>
      <c r="E1" s="1"/>
      <c r="F1" s="1"/>
    </row>
    <row r="2" spans="1:6" ht="18" x14ac:dyDescent="0.25">
      <c r="A2" s="2"/>
      <c r="B2" s="160" t="s">
        <v>0</v>
      </c>
      <c r="C2" s="160"/>
      <c r="D2" s="160"/>
      <c r="E2" s="160"/>
      <c r="F2" s="2"/>
    </row>
    <row r="3" spans="1:6" x14ac:dyDescent="0.2">
      <c r="A3" s="2"/>
      <c r="B3" s="3" t="s">
        <v>1</v>
      </c>
      <c r="C3" s="3" t="s">
        <v>2</v>
      </c>
      <c r="D3" s="3" t="s">
        <v>3</v>
      </c>
      <c r="E3" s="3" t="s">
        <v>4</v>
      </c>
      <c r="F3" s="2"/>
    </row>
    <row r="4" spans="1:6" x14ac:dyDescent="0.2">
      <c r="A4" s="2"/>
      <c r="B4" s="4">
        <v>46143</v>
      </c>
      <c r="C4" s="132">
        <v>727.63</v>
      </c>
      <c r="D4" s="133">
        <v>4.4624442499999999</v>
      </c>
      <c r="E4" s="133">
        <v>3.3485613928571434</v>
      </c>
      <c r="F4" s="2"/>
    </row>
    <row r="5" spans="1:6" x14ac:dyDescent="0.2">
      <c r="A5" s="2"/>
      <c r="B5" s="4">
        <v>46113</v>
      </c>
      <c r="C5" s="132">
        <v>680</v>
      </c>
      <c r="D5" s="133">
        <v>4.2877999999999998</v>
      </c>
      <c r="E5" s="133">
        <v>2.9556</v>
      </c>
      <c r="F5" s="2"/>
    </row>
    <row r="6" spans="1:6" x14ac:dyDescent="0.2">
      <c r="A6" s="2"/>
      <c r="B6" s="4">
        <v>46082</v>
      </c>
      <c r="C6" s="58">
        <v>542</v>
      </c>
      <c r="D6" s="6">
        <v>2.8079000000000001</v>
      </c>
      <c r="E6" s="6">
        <v>2.1432000000000002</v>
      </c>
      <c r="F6" s="2"/>
    </row>
    <row r="7" spans="1:6" x14ac:dyDescent="0.2">
      <c r="A7" s="2"/>
      <c r="B7" s="4">
        <v>46054</v>
      </c>
      <c r="C7" s="58">
        <v>552.96</v>
      </c>
      <c r="D7" s="6">
        <v>2.5924999999999998</v>
      </c>
      <c r="E7" s="6">
        <v>2.0459000000000001</v>
      </c>
      <c r="F7" s="2"/>
    </row>
    <row r="8" spans="1:6" x14ac:dyDescent="0.2">
      <c r="A8" s="2"/>
      <c r="B8" s="4">
        <v>46023</v>
      </c>
      <c r="C8" s="58">
        <v>549.74</v>
      </c>
      <c r="D8" s="6">
        <v>2.5710999999999999</v>
      </c>
      <c r="E8" s="6">
        <v>2.1013999999999999</v>
      </c>
      <c r="F8" s="2"/>
    </row>
    <row r="9" spans="1:6" x14ac:dyDescent="0.2">
      <c r="A9" s="2"/>
      <c r="B9" s="4">
        <v>45992</v>
      </c>
      <c r="C9" s="58">
        <v>565.21</v>
      </c>
      <c r="D9" s="6">
        <v>2.8332000000000002</v>
      </c>
      <c r="E9" s="6">
        <v>2.2503000000000002</v>
      </c>
      <c r="F9" s="2"/>
    </row>
    <row r="10" spans="1:6" x14ac:dyDescent="0.2">
      <c r="A10" s="2"/>
      <c r="B10" s="4">
        <v>45962</v>
      </c>
      <c r="C10" s="58">
        <v>570.61</v>
      </c>
      <c r="D10" s="6">
        <v>2.6545000000000001</v>
      </c>
      <c r="E10" s="6">
        <v>2.2052999999999998</v>
      </c>
      <c r="F10" s="2"/>
    </row>
    <row r="11" spans="1:6" x14ac:dyDescent="0.2">
      <c r="A11" s="2"/>
      <c r="B11" s="4">
        <v>45931</v>
      </c>
      <c r="C11" s="58">
        <v>578.4</v>
      </c>
      <c r="D11" s="6">
        <v>2.7303000000000002</v>
      </c>
      <c r="E11" s="6">
        <v>2.34</v>
      </c>
      <c r="F11" s="2"/>
    </row>
    <row r="12" spans="1:6" x14ac:dyDescent="0.2">
      <c r="A12" s="2"/>
      <c r="B12" s="4">
        <v>45901</v>
      </c>
      <c r="C12" s="58">
        <v>576.55999999999995</v>
      </c>
      <c r="D12" s="6">
        <v>2.6827999999999999</v>
      </c>
      <c r="E12" s="6">
        <v>2.3391000000000002</v>
      </c>
      <c r="F12" s="2"/>
    </row>
    <row r="13" spans="1:6" x14ac:dyDescent="0.2">
      <c r="A13" s="2"/>
      <c r="B13" s="4">
        <v>45870</v>
      </c>
      <c r="C13" s="58">
        <v>578.55999999999995</v>
      </c>
      <c r="D13" s="6">
        <v>2.8233999999999999</v>
      </c>
      <c r="E13" s="6">
        <v>2.3222</v>
      </c>
      <c r="F13" s="2"/>
    </row>
    <row r="14" spans="1:6" x14ac:dyDescent="0.2">
      <c r="A14" s="2"/>
      <c r="B14" s="4">
        <v>45839</v>
      </c>
      <c r="C14" s="58">
        <v>587.75</v>
      </c>
      <c r="D14" s="6">
        <v>2.6627999999999998</v>
      </c>
      <c r="E14" s="6">
        <v>2.3357999999999999</v>
      </c>
      <c r="F14" s="2"/>
    </row>
    <row r="15" spans="1:6" x14ac:dyDescent="0.2">
      <c r="A15" s="2"/>
      <c r="B15" s="4">
        <v>45809</v>
      </c>
      <c r="C15" s="58">
        <v>576.13</v>
      </c>
      <c r="D15" s="6">
        <v>2.4808785172413801</v>
      </c>
      <c r="E15" s="6">
        <v>2.30154110344828</v>
      </c>
      <c r="F15" s="2"/>
    </row>
    <row r="16" spans="1:6" x14ac:dyDescent="0.2">
      <c r="A16" s="2"/>
      <c r="B16" s="4">
        <v>45778</v>
      </c>
      <c r="C16" s="58">
        <v>571.84</v>
      </c>
      <c r="D16" s="6">
        <v>2.5161838333333302</v>
      </c>
      <c r="E16" s="6">
        <v>2.2991338333333302</v>
      </c>
      <c r="F16" s="2"/>
    </row>
    <row r="17" spans="1:6" x14ac:dyDescent="0.2">
      <c r="A17" s="2"/>
      <c r="B17" s="4">
        <v>45748</v>
      </c>
      <c r="C17" s="58">
        <v>595</v>
      </c>
      <c r="D17" s="6">
        <v>2.6285863870967701</v>
      </c>
      <c r="E17" s="6">
        <v>2.3031012258064498</v>
      </c>
      <c r="F17" s="2"/>
    </row>
    <row r="18" spans="1:6" x14ac:dyDescent="0.2">
      <c r="A18" s="2"/>
      <c r="B18" s="4">
        <v>45717</v>
      </c>
      <c r="C18" s="58">
        <v>588.28</v>
      </c>
      <c r="D18" s="6">
        <v>2.8342991111111102</v>
      </c>
      <c r="E18" s="6">
        <v>2.3410000000000002</v>
      </c>
      <c r="F18" s="2"/>
    </row>
    <row r="19" spans="1:6" x14ac:dyDescent="0.2">
      <c r="A19" s="2"/>
      <c r="B19" s="4">
        <v>45689</v>
      </c>
      <c r="C19" s="58">
        <v>581.41999999999996</v>
      </c>
      <c r="D19" s="6">
        <v>2.83312106451613</v>
      </c>
      <c r="E19" s="6">
        <v>2.3717205806451598</v>
      </c>
      <c r="F19" s="2"/>
    </row>
    <row r="20" spans="1:6" x14ac:dyDescent="0.2">
      <c r="A20" s="2"/>
      <c r="B20" s="4">
        <v>45658</v>
      </c>
      <c r="C20" s="58">
        <v>583.36</v>
      </c>
      <c r="D20" s="6">
        <v>2.5889000000000002</v>
      </c>
      <c r="E20" s="6">
        <v>2.2722224999999998</v>
      </c>
      <c r="F20" s="2"/>
    </row>
    <row r="21" spans="1:6" x14ac:dyDescent="0.2">
      <c r="A21" s="2"/>
      <c r="B21" s="4">
        <v>45627</v>
      </c>
      <c r="C21" s="58">
        <v>586.04999999999995</v>
      </c>
      <c r="D21" s="6">
        <v>2.6262241666666699</v>
      </c>
      <c r="E21" s="6">
        <v>2.3073741666666701</v>
      </c>
      <c r="F21" s="2"/>
    </row>
    <row r="22" spans="1:6" x14ac:dyDescent="0.2">
      <c r="A22" s="2"/>
      <c r="B22" s="4">
        <v>45597</v>
      </c>
      <c r="C22" s="58">
        <v>586.89</v>
      </c>
      <c r="D22" s="6">
        <v>2.6182966666666698</v>
      </c>
      <c r="E22" s="6">
        <v>2.37075416666667</v>
      </c>
      <c r="F22" s="2"/>
    </row>
    <row r="23" spans="1:6" x14ac:dyDescent="0.2">
      <c r="A23" s="2"/>
      <c r="B23" s="4">
        <v>45566</v>
      </c>
      <c r="C23" s="58">
        <v>583.13</v>
      </c>
      <c r="D23" s="6">
        <v>2.5233724999999998</v>
      </c>
      <c r="E23" s="6">
        <v>2.32047583333333</v>
      </c>
      <c r="F23" s="2"/>
    </row>
    <row r="24" spans="1:6" x14ac:dyDescent="0.2">
      <c r="A24" s="2"/>
      <c r="B24" s="4">
        <v>45536</v>
      </c>
      <c r="C24" s="58">
        <v>596.58000000000004</v>
      </c>
      <c r="D24" s="6">
        <v>2.6831545161290302</v>
      </c>
      <c r="E24" s="6">
        <v>2.5545216129032302</v>
      </c>
      <c r="F24" s="2"/>
    </row>
    <row r="25" spans="1:6" x14ac:dyDescent="0.2">
      <c r="A25" s="2"/>
      <c r="B25" s="4">
        <v>45505</v>
      </c>
      <c r="C25" s="58">
        <v>607</v>
      </c>
      <c r="D25" s="6">
        <v>2.88522467741935</v>
      </c>
      <c r="E25" s="6">
        <v>2.7494998387096801</v>
      </c>
      <c r="F25" s="2"/>
    </row>
    <row r="26" spans="1:6" x14ac:dyDescent="0.2">
      <c r="A26" s="2"/>
      <c r="B26" s="4">
        <v>45474</v>
      </c>
      <c r="C26" s="58">
        <v>609.74</v>
      </c>
      <c r="D26" s="6">
        <v>2.8418733333333299</v>
      </c>
      <c r="E26" s="6">
        <v>2.6721149999999998</v>
      </c>
      <c r="F26" s="2"/>
    </row>
    <row r="27" spans="1:6" x14ac:dyDescent="0.2">
      <c r="A27" s="2"/>
      <c r="B27" s="4">
        <v>45444</v>
      </c>
      <c r="C27" s="58">
        <v>619</v>
      </c>
      <c r="D27" s="6">
        <v>2.8471074500000002</v>
      </c>
      <c r="E27" s="6">
        <v>2.74912340833334</v>
      </c>
      <c r="F27" s="2"/>
    </row>
    <row r="28" spans="1:6" x14ac:dyDescent="0.2">
      <c r="A28" s="2"/>
      <c r="B28" s="4">
        <v>45413</v>
      </c>
      <c r="C28" s="58">
        <v>618.5</v>
      </c>
      <c r="D28" s="6">
        <v>3.0272000000000001</v>
      </c>
      <c r="E28" s="6">
        <v>2.8251391666666699</v>
      </c>
      <c r="F28" s="2"/>
    </row>
    <row r="29" spans="1:6" x14ac:dyDescent="0.2">
      <c r="A29" s="2"/>
      <c r="B29" s="4">
        <v>45383</v>
      </c>
      <c r="C29" s="58">
        <v>613.5</v>
      </c>
      <c r="D29" s="6">
        <v>3.0526617741935498</v>
      </c>
      <c r="E29" s="6">
        <v>2.72765467741936</v>
      </c>
      <c r="F29" s="2"/>
    </row>
    <row r="30" spans="1:6" x14ac:dyDescent="0.2">
      <c r="A30" s="2"/>
      <c r="B30" s="4">
        <v>45352</v>
      </c>
      <c r="C30" s="58">
        <v>601.5</v>
      </c>
      <c r="D30" s="6">
        <v>3.16498568965517</v>
      </c>
      <c r="E30" s="6">
        <v>2.5308000000000002</v>
      </c>
      <c r="F30" s="2"/>
    </row>
    <row r="31" spans="1:6" x14ac:dyDescent="0.2">
      <c r="A31" s="2"/>
      <c r="B31" s="4">
        <v>45323</v>
      </c>
      <c r="C31" s="58">
        <v>591.25</v>
      </c>
      <c r="D31" s="6">
        <v>3.0118999999999998</v>
      </c>
      <c r="E31" s="6">
        <v>2.3984932258064502</v>
      </c>
      <c r="F31" s="2"/>
    </row>
    <row r="32" spans="1:6" x14ac:dyDescent="0.2">
      <c r="A32" s="2"/>
      <c r="B32" s="4">
        <v>45292</v>
      </c>
      <c r="C32" s="58">
        <v>594.25</v>
      </c>
      <c r="D32" s="6">
        <v>2.93557916666667</v>
      </c>
      <c r="E32" s="6">
        <v>2.40097</v>
      </c>
      <c r="F32" s="2"/>
    </row>
    <row r="33" spans="1:6" x14ac:dyDescent="0.2">
      <c r="A33" s="2"/>
      <c r="B33" s="4">
        <v>45261</v>
      </c>
      <c r="C33" s="58">
        <v>601.94000000000005</v>
      </c>
      <c r="D33" s="6">
        <v>3.1912141666666698</v>
      </c>
      <c r="E33" s="6">
        <v>2.49932</v>
      </c>
      <c r="F33" s="2"/>
    </row>
    <row r="34" spans="1:6" x14ac:dyDescent="0.2">
      <c r="A34" s="2"/>
      <c r="B34" s="4">
        <v>45231</v>
      </c>
      <c r="C34" s="58">
        <v>611</v>
      </c>
      <c r="D34" s="6">
        <v>3.4833529032258101</v>
      </c>
      <c r="E34" s="6">
        <v>2.6211000000000002</v>
      </c>
      <c r="F34" s="2"/>
    </row>
    <row r="35" spans="1:6" x14ac:dyDescent="0.2">
      <c r="A35" s="2"/>
      <c r="B35" s="4">
        <v>45200</v>
      </c>
      <c r="C35" s="58">
        <v>624</v>
      </c>
      <c r="D35" s="6">
        <v>3.6618753448275898</v>
      </c>
      <c r="E35" s="6">
        <v>2.9201822413793099</v>
      </c>
      <c r="F35" s="2"/>
    </row>
    <row r="36" spans="1:6" x14ac:dyDescent="0.2">
      <c r="A36" s="2"/>
      <c r="B36" s="4">
        <v>45170</v>
      </c>
      <c r="C36" s="58">
        <v>628.5</v>
      </c>
      <c r="D36" s="6">
        <v>3.50225370967742</v>
      </c>
      <c r="E36" s="6">
        <v>2.9626682258064498</v>
      </c>
      <c r="F36" s="2"/>
    </row>
    <row r="37" spans="1:6" x14ac:dyDescent="0.2">
      <c r="A37" s="2"/>
      <c r="B37" s="4">
        <v>45139</v>
      </c>
      <c r="C37" s="58">
        <v>639</v>
      </c>
      <c r="D37" s="6">
        <v>3.00547870967742</v>
      </c>
      <c r="E37" s="6">
        <v>2.7902520967741902</v>
      </c>
      <c r="F37" s="2"/>
    </row>
    <row r="38" spans="1:6" x14ac:dyDescent="0.2">
      <c r="A38" s="2"/>
      <c r="B38" s="4">
        <v>45108</v>
      </c>
      <c r="C38" s="58">
        <v>641.5</v>
      </c>
      <c r="D38" s="6">
        <v>2.7902541666666663</v>
      </c>
      <c r="E38" s="6">
        <v>2.7010000000000001</v>
      </c>
      <c r="F38" s="2"/>
    </row>
    <row r="39" spans="1:6" x14ac:dyDescent="0.2">
      <c r="A39" s="2"/>
      <c r="B39" s="4">
        <v>45078</v>
      </c>
      <c r="C39" s="58">
        <v>647.5</v>
      </c>
      <c r="D39" s="6">
        <v>2.7713000000000001</v>
      </c>
      <c r="E39" s="6">
        <v>2.6973553225806399</v>
      </c>
      <c r="F39" s="2"/>
    </row>
    <row r="40" spans="1:6" x14ac:dyDescent="0.2">
      <c r="A40" s="2"/>
      <c r="B40" s="4">
        <v>45047</v>
      </c>
      <c r="C40" s="58">
        <v>651.28</v>
      </c>
      <c r="D40" s="6">
        <v>2.9944716666666702</v>
      </c>
      <c r="E40" s="6">
        <v>2.809355</v>
      </c>
      <c r="F40" s="2"/>
    </row>
    <row r="41" spans="1:6" x14ac:dyDescent="0.2">
      <c r="A41" s="2"/>
      <c r="B41" s="4">
        <v>45017</v>
      </c>
      <c r="C41" s="58">
        <v>651.53</v>
      </c>
      <c r="D41" s="6">
        <v>3.1309999999999998</v>
      </c>
      <c r="E41" s="6">
        <v>2.68241</v>
      </c>
      <c r="F41" s="2"/>
    </row>
    <row r="42" spans="1:6" x14ac:dyDescent="0.2">
      <c r="A42" s="2"/>
      <c r="B42" s="4">
        <v>44986</v>
      </c>
      <c r="C42" s="58">
        <v>651.5</v>
      </c>
      <c r="D42" s="6">
        <v>3.22738196428572</v>
      </c>
      <c r="E42" s="6">
        <v>2.6156549999999998</v>
      </c>
      <c r="F42" s="2"/>
    </row>
    <row r="43" spans="1:6" x14ac:dyDescent="0.2">
      <c r="A43" s="2"/>
      <c r="B43" s="4">
        <v>44958</v>
      </c>
      <c r="C43" s="58">
        <v>647.25</v>
      </c>
      <c r="D43" s="6">
        <v>3.73226419354839</v>
      </c>
      <c r="E43" s="6">
        <v>2.7309000000000001</v>
      </c>
      <c r="F43" s="2"/>
    </row>
    <row r="44" spans="1:6" x14ac:dyDescent="0.2">
      <c r="A44" s="2"/>
      <c r="B44" s="4">
        <v>44927</v>
      </c>
      <c r="C44" s="58">
        <v>645</v>
      </c>
      <c r="D44" s="6">
        <v>3.6000698387096768</v>
      </c>
      <c r="E44" s="6">
        <v>2.5018703225806447</v>
      </c>
      <c r="F44" s="2"/>
    </row>
    <row r="45" spans="1:6" x14ac:dyDescent="0.2">
      <c r="A45" s="2"/>
      <c r="B45" s="4">
        <v>44896</v>
      </c>
      <c r="C45" s="58">
        <v>654.5</v>
      </c>
      <c r="D45" s="6">
        <v>4.4199983333333304</v>
      </c>
      <c r="E45" s="6">
        <v>2.7811766666666653</v>
      </c>
      <c r="F45" s="2"/>
    </row>
    <row r="46" spans="1:6" x14ac:dyDescent="0.2">
      <c r="A46" s="2"/>
      <c r="B46" s="4">
        <v>44866</v>
      </c>
      <c r="C46" s="58">
        <v>670.5</v>
      </c>
      <c r="D46" s="6">
        <v>4.4066999999999998</v>
      </c>
      <c r="E46" s="6">
        <v>2.8997920967741901</v>
      </c>
      <c r="F46" s="2"/>
    </row>
    <row r="47" spans="1:6" x14ac:dyDescent="0.2">
      <c r="A47" s="2"/>
      <c r="B47" s="4">
        <v>44835</v>
      </c>
      <c r="C47" s="58">
        <v>714.52</v>
      </c>
      <c r="D47" s="6">
        <v>3.8404988983050843</v>
      </c>
      <c r="E47" s="6">
        <v>2.8142</v>
      </c>
      <c r="F47" s="2"/>
    </row>
    <row r="48" spans="1:6" x14ac:dyDescent="0.2">
      <c r="A48" s="2"/>
      <c r="B48" s="4">
        <v>44805</v>
      </c>
      <c r="C48" s="58">
        <v>755.91</v>
      </c>
      <c r="D48" s="6">
        <v>4.0350980645161281</v>
      </c>
      <c r="E48" s="6">
        <v>3.0378816129032251</v>
      </c>
      <c r="F48" s="2"/>
    </row>
    <row r="49" spans="1:6" x14ac:dyDescent="0.2">
      <c r="A49" s="2"/>
      <c r="B49" s="4">
        <v>44774</v>
      </c>
      <c r="C49" s="58">
        <v>799.31</v>
      </c>
      <c r="D49" s="6">
        <v>4.1588000000000003</v>
      </c>
      <c r="E49" s="6">
        <v>3.3046000000000002</v>
      </c>
      <c r="F49" s="2"/>
    </row>
    <row r="50" spans="1:6" x14ac:dyDescent="0.2">
      <c r="A50" s="2"/>
      <c r="B50" s="4">
        <v>44743</v>
      </c>
      <c r="C50" s="58">
        <v>792.89</v>
      </c>
      <c r="D50" s="6">
        <v>5.0218999999999996</v>
      </c>
      <c r="E50" s="6">
        <v>3.9668999999999999</v>
      </c>
      <c r="F50" s="2"/>
    </row>
    <row r="51" spans="1:6" x14ac:dyDescent="0.2">
      <c r="A51" s="2"/>
      <c r="B51" s="4">
        <v>44713</v>
      </c>
      <c r="C51" s="58">
        <v>754.03</v>
      </c>
      <c r="D51" s="6">
        <v>4.9462537096774195</v>
      </c>
      <c r="E51" s="6">
        <v>3.8239590322580637</v>
      </c>
      <c r="F51" s="2"/>
    </row>
    <row r="52" spans="1:6" x14ac:dyDescent="0.2">
      <c r="A52" s="2"/>
      <c r="B52" s="4">
        <v>44682</v>
      </c>
      <c r="C52" s="58">
        <v>715.5</v>
      </c>
      <c r="D52" s="6">
        <v>4.2559741666666664</v>
      </c>
      <c r="E52" s="6">
        <v>3.3003991666666668</v>
      </c>
      <c r="F52" s="2"/>
    </row>
    <row r="53" spans="1:6" x14ac:dyDescent="0.2">
      <c r="A53" s="2"/>
      <c r="B53" s="4">
        <v>44652</v>
      </c>
      <c r="C53" s="58">
        <v>664.5</v>
      </c>
      <c r="D53" s="6">
        <v>4.1297837499999996</v>
      </c>
      <c r="E53" s="6">
        <v>3.4347987500000001</v>
      </c>
      <c r="F53" s="2"/>
    </row>
    <row r="54" spans="1:6" x14ac:dyDescent="0.2">
      <c r="A54" s="2"/>
      <c r="B54" s="4">
        <v>44621</v>
      </c>
      <c r="C54" s="58">
        <v>587.25</v>
      </c>
      <c r="D54" s="6">
        <v>3.2463000000000002</v>
      </c>
      <c r="E54" s="6">
        <v>2.8401791071428599</v>
      </c>
      <c r="F54" s="2"/>
    </row>
    <row r="55" spans="1:6" x14ac:dyDescent="0.2">
      <c r="A55" s="2"/>
      <c r="B55" s="4">
        <v>44593</v>
      </c>
      <c r="C55" s="58">
        <v>531.66999999999996</v>
      </c>
      <c r="D55" s="6">
        <v>2.9116</v>
      </c>
      <c r="E55" s="6">
        <v>2.6077598387096765</v>
      </c>
      <c r="F55" s="2"/>
    </row>
    <row r="56" spans="1:6" x14ac:dyDescent="0.2">
      <c r="A56" s="2"/>
      <c r="B56" s="4">
        <v>44562</v>
      </c>
      <c r="C56" s="58">
        <v>520</v>
      </c>
      <c r="D56" s="6">
        <v>2.56508</v>
      </c>
      <c r="E56" s="6">
        <v>2.4885999999999999</v>
      </c>
      <c r="F56" s="2"/>
    </row>
    <row r="57" spans="1:6" x14ac:dyDescent="0.2">
      <c r="A57" s="2"/>
      <c r="B57" s="4">
        <v>44531</v>
      </c>
      <c r="C57" s="58">
        <v>521.5</v>
      </c>
      <c r="D57" s="6">
        <v>2.7381787931034482</v>
      </c>
      <c r="E57" s="6">
        <v>2.6633817241379312</v>
      </c>
      <c r="F57" s="2"/>
    </row>
    <row r="58" spans="1:6" x14ac:dyDescent="0.2">
      <c r="A58" s="2"/>
      <c r="B58" s="4">
        <v>44501</v>
      </c>
      <c r="C58" s="58">
        <v>511.25</v>
      </c>
      <c r="D58" s="6">
        <v>2.8654980645161299</v>
      </c>
      <c r="E58" s="6">
        <v>2.6873999999999998</v>
      </c>
      <c r="F58" s="2"/>
    </row>
    <row r="59" spans="1:6" x14ac:dyDescent="0.2">
      <c r="A59" s="2"/>
      <c r="B59" s="4">
        <v>44470</v>
      </c>
      <c r="C59" s="58">
        <v>498.57</v>
      </c>
      <c r="D59" s="6">
        <v>2.5497999999999998</v>
      </c>
      <c r="E59" s="6">
        <v>2.4666999999999999</v>
      </c>
      <c r="F59" s="2"/>
    </row>
    <row r="60" spans="1:6" x14ac:dyDescent="0.2">
      <c r="A60" s="2"/>
      <c r="B60" s="4">
        <v>44440</v>
      </c>
      <c r="C60" s="58">
        <v>507.86</v>
      </c>
      <c r="D60" s="6">
        <v>2.3988464516129029</v>
      </c>
      <c r="E60" s="6">
        <v>2.3849832258064518</v>
      </c>
      <c r="F60" s="2"/>
    </row>
    <row r="61" spans="1:6" x14ac:dyDescent="0.2">
      <c r="A61" s="2"/>
      <c r="B61" s="4">
        <v>44409</v>
      </c>
      <c r="C61" s="58">
        <v>508</v>
      </c>
      <c r="D61" s="6">
        <v>2.4593351612903245</v>
      </c>
      <c r="E61" s="6">
        <v>2.4344404838709672</v>
      </c>
      <c r="F61" s="2"/>
    </row>
    <row r="62" spans="1:6" x14ac:dyDescent="0.2">
      <c r="A62" s="2"/>
      <c r="B62" s="4">
        <v>44378</v>
      </c>
      <c r="C62" s="58">
        <v>504.74</v>
      </c>
      <c r="D62" s="6">
        <v>2.4433441666666678</v>
      </c>
      <c r="E62" s="6">
        <v>2.3531083333333336</v>
      </c>
      <c r="F62" s="2"/>
    </row>
    <row r="63" spans="1:6" x14ac:dyDescent="0.2">
      <c r="A63" s="2"/>
      <c r="B63" s="4">
        <v>44348</v>
      </c>
      <c r="C63" s="58">
        <v>485.86</v>
      </c>
      <c r="D63" s="6">
        <v>2.3845408064516116</v>
      </c>
      <c r="E63" s="6">
        <v>2.326134838709677</v>
      </c>
      <c r="F63" s="2"/>
    </row>
    <row r="64" spans="1:6" x14ac:dyDescent="0.2">
      <c r="A64" s="2"/>
      <c r="B64" s="4">
        <v>44317</v>
      </c>
      <c r="C64" s="58">
        <v>472.38</v>
      </c>
      <c r="D64" s="6">
        <v>2.1838000000000002</v>
      </c>
      <c r="E64" s="6">
        <v>2.1852</v>
      </c>
      <c r="F64" s="2"/>
    </row>
    <row r="65" spans="1:6" x14ac:dyDescent="0.2">
      <c r="A65" s="2"/>
      <c r="B65" s="4">
        <v>44287</v>
      </c>
      <c r="C65" s="58">
        <v>459.76</v>
      </c>
      <c r="D65" s="6">
        <v>2.2539770967741939</v>
      </c>
      <c r="E65" s="6">
        <v>2.2006000000000001</v>
      </c>
      <c r="F65" s="2"/>
    </row>
    <row r="66" spans="1:6" x14ac:dyDescent="0.2">
      <c r="A66" s="2"/>
      <c r="B66" s="4">
        <v>44256</v>
      </c>
      <c r="C66" s="58">
        <v>450.39</v>
      </c>
      <c r="D66" s="6">
        <v>2.0971132142857156</v>
      </c>
      <c r="E66" s="6">
        <v>1.9639496428571428</v>
      </c>
      <c r="F66" s="2"/>
    </row>
    <row r="67" spans="1:6" x14ac:dyDescent="0.2">
      <c r="A67" s="2"/>
      <c r="B67" s="4">
        <v>44228</v>
      </c>
      <c r="C67" s="58">
        <v>434.87</v>
      </c>
      <c r="D67" s="6">
        <v>1.8708</v>
      </c>
      <c r="E67" s="6">
        <v>1.7728999999999999</v>
      </c>
      <c r="F67" s="2"/>
    </row>
    <row r="68" spans="1:6" x14ac:dyDescent="0.2">
      <c r="A68" s="2"/>
      <c r="B68" s="4">
        <v>44197</v>
      </c>
      <c r="C68" s="58">
        <v>413.57</v>
      </c>
      <c r="D68" s="6">
        <v>1.7625</v>
      </c>
      <c r="E68" s="6">
        <v>1.5981000000000001</v>
      </c>
      <c r="F68" s="2"/>
    </row>
    <row r="69" spans="1:6" x14ac:dyDescent="0.2">
      <c r="A69" s="2"/>
      <c r="B69" s="4">
        <v>44166</v>
      </c>
      <c r="C69" s="58">
        <v>392.88</v>
      </c>
      <c r="D69" s="6">
        <v>1.5727</v>
      </c>
      <c r="E69" s="6">
        <v>1.4638</v>
      </c>
      <c r="F69" s="2"/>
    </row>
    <row r="70" spans="1:6" x14ac:dyDescent="0.2">
      <c r="A70" s="2"/>
      <c r="B70" s="4">
        <v>44136</v>
      </c>
      <c r="C70" s="58">
        <v>401.75</v>
      </c>
      <c r="D70" s="6">
        <v>1.4738</v>
      </c>
      <c r="E70" s="6">
        <v>1.4930000000000001</v>
      </c>
      <c r="F70" s="2"/>
    </row>
    <row r="71" spans="1:6" x14ac:dyDescent="0.2">
      <c r="A71" s="2"/>
      <c r="B71" s="4">
        <v>44105</v>
      </c>
      <c r="C71" s="58">
        <v>414.09</v>
      </c>
      <c r="D71" s="6">
        <v>1.4534700000000003</v>
      </c>
      <c r="E71" s="6">
        <v>1.5264625000000001</v>
      </c>
      <c r="F71" s="2"/>
    </row>
    <row r="72" spans="1:6" x14ac:dyDescent="0.2">
      <c r="A72" s="2"/>
      <c r="B72" s="4">
        <v>44075</v>
      </c>
      <c r="C72" s="58">
        <v>417.5</v>
      </c>
      <c r="D72" s="6">
        <v>1.5459000000000001</v>
      </c>
      <c r="E72" s="6">
        <v>1.5211977419354836</v>
      </c>
      <c r="F72" s="2"/>
    </row>
    <row r="73" spans="1:6" x14ac:dyDescent="0.2">
      <c r="A73" s="2"/>
      <c r="B73" s="4">
        <v>44044</v>
      </c>
      <c r="C73" s="58">
        <v>407.95</v>
      </c>
      <c r="D73" s="6">
        <v>1.5418000000000001</v>
      </c>
      <c r="E73" s="6">
        <v>1.4902</v>
      </c>
      <c r="F73" s="2"/>
    </row>
    <row r="74" spans="1:6" x14ac:dyDescent="0.2">
      <c r="A74" s="2"/>
      <c r="B74" s="4">
        <v>44013</v>
      </c>
      <c r="C74" s="58">
        <v>394.98</v>
      </c>
      <c r="D74" s="6">
        <v>1.4119216666666667</v>
      </c>
      <c r="E74" s="6">
        <v>1.4041066666666664</v>
      </c>
      <c r="F74" s="2"/>
    </row>
    <row r="75" spans="1:6" x14ac:dyDescent="0.2">
      <c r="A75" s="2"/>
      <c r="B75" s="4">
        <v>43983</v>
      </c>
      <c r="C75" s="58">
        <v>418.41</v>
      </c>
      <c r="D75" s="6">
        <v>1.1767956451612904</v>
      </c>
      <c r="E75" s="6">
        <v>1.1646346874999995</v>
      </c>
      <c r="F75" s="2"/>
    </row>
    <row r="76" spans="1:6" x14ac:dyDescent="0.2">
      <c r="A76" s="2"/>
      <c r="B76" s="4">
        <v>43952</v>
      </c>
      <c r="C76" s="58">
        <v>453.18</v>
      </c>
      <c r="D76" s="6">
        <v>1.1631175</v>
      </c>
      <c r="E76" s="6">
        <v>0.854341666666667</v>
      </c>
      <c r="F76" s="2"/>
    </row>
    <row r="77" spans="1:6" x14ac:dyDescent="0.2">
      <c r="A77" s="2"/>
      <c r="B77" s="4">
        <v>43922</v>
      </c>
      <c r="C77" s="58">
        <v>481.82</v>
      </c>
      <c r="D77" s="6">
        <v>1.4896649999999998</v>
      </c>
      <c r="E77" s="6">
        <v>1.1993880645161283</v>
      </c>
      <c r="F77" s="2"/>
    </row>
    <row r="78" spans="1:6" x14ac:dyDescent="0.2">
      <c r="A78" s="2"/>
      <c r="B78" s="4">
        <v>43891</v>
      </c>
      <c r="C78" s="58">
        <v>492</v>
      </c>
      <c r="D78" s="6">
        <v>1.9233977586206898</v>
      </c>
      <c r="E78" s="6">
        <v>1.792734310344827</v>
      </c>
      <c r="F78" s="2"/>
    </row>
    <row r="79" spans="1:6" x14ac:dyDescent="0.2">
      <c r="A79" s="2"/>
      <c r="B79" s="4">
        <v>43862</v>
      </c>
      <c r="C79" s="58">
        <v>495</v>
      </c>
      <c r="D79" s="6">
        <v>2.1417674193548386</v>
      </c>
      <c r="E79" s="6">
        <v>1.8970324193548387</v>
      </c>
      <c r="F79" s="2"/>
    </row>
    <row r="80" spans="1:6" x14ac:dyDescent="0.2">
      <c r="A80" s="2"/>
      <c r="B80" s="4">
        <v>43831</v>
      </c>
      <c r="C80" s="58">
        <v>490.88094999999998</v>
      </c>
      <c r="D80" s="6">
        <v>2.2654133870967743</v>
      </c>
      <c r="E80" s="6">
        <v>1.9467589062500004</v>
      </c>
      <c r="F80" s="2"/>
    </row>
    <row r="81" spans="1:6" x14ac:dyDescent="0.2">
      <c r="A81" s="2"/>
      <c r="B81" s="4">
        <v>43800</v>
      </c>
      <c r="C81" s="58">
        <v>488.26190000000003</v>
      </c>
      <c r="D81" s="6">
        <v>2.2114991666666666</v>
      </c>
      <c r="E81" s="6">
        <v>1.9304124999999999</v>
      </c>
      <c r="F81" s="2"/>
    </row>
    <row r="82" spans="1:6" x14ac:dyDescent="0.2">
      <c r="A82" s="2"/>
      <c r="B82" s="4">
        <v>43770</v>
      </c>
      <c r="C82" s="58">
        <v>487.47</v>
      </c>
      <c r="D82" s="6">
        <v>2.2238311290322583</v>
      </c>
      <c r="E82" s="6">
        <v>1.9098219354838706</v>
      </c>
      <c r="F82" s="2"/>
    </row>
    <row r="83" spans="1:6" x14ac:dyDescent="0.2">
      <c r="A83" s="2"/>
      <c r="B83" s="4">
        <v>43739</v>
      </c>
      <c r="C83" s="58">
        <v>482.89</v>
      </c>
      <c r="D83" s="6">
        <v>2.2177916666666664</v>
      </c>
      <c r="E83" s="6">
        <v>1.9164083333333335</v>
      </c>
      <c r="F83" s="2"/>
    </row>
    <row r="84" spans="1:6" x14ac:dyDescent="0.2">
      <c r="A84" s="2"/>
      <c r="B84" s="4">
        <v>43709</v>
      </c>
      <c r="C84" s="58">
        <v>498.55354999999997</v>
      </c>
      <c r="D84" s="6">
        <v>2.1234117741935483</v>
      </c>
      <c r="E84" s="6">
        <v>1.8915493548387101</v>
      </c>
      <c r="F84" s="2"/>
    </row>
    <row r="85" spans="1:6" x14ac:dyDescent="0.2">
      <c r="A85" s="2"/>
      <c r="B85" s="4">
        <v>43678</v>
      </c>
      <c r="C85" s="58">
        <v>521.25</v>
      </c>
      <c r="D85" s="6">
        <v>2.2066835483870961</v>
      </c>
      <c r="E85" s="6">
        <v>2.0707727419354836</v>
      </c>
      <c r="F85" s="2"/>
    </row>
    <row r="86" spans="1:6" x14ac:dyDescent="0.2">
      <c r="A86" s="2"/>
      <c r="B86" s="4">
        <v>43647</v>
      </c>
      <c r="C86" s="58">
        <v>530.28</v>
      </c>
      <c r="D86" s="6">
        <v>2.1235491666666673</v>
      </c>
      <c r="E86" s="6">
        <v>1.93486</v>
      </c>
      <c r="F86" s="2"/>
    </row>
    <row r="87" spans="1:6" x14ac:dyDescent="0.2">
      <c r="A87" s="2"/>
      <c r="B87" s="4">
        <v>43617</v>
      </c>
      <c r="C87" s="58">
        <v>537.36</v>
      </c>
      <c r="D87" s="6">
        <v>2.3197999999999999</v>
      </c>
      <c r="E87" s="6">
        <v>2.1065999999999998</v>
      </c>
      <c r="F87" s="2"/>
    </row>
    <row r="88" spans="1:6" x14ac:dyDescent="0.2">
      <c r="A88" s="2"/>
      <c r="B88" s="4">
        <v>43586</v>
      </c>
      <c r="C88" s="58">
        <v>525.03</v>
      </c>
      <c r="D88" s="6">
        <v>2.3273441666666672</v>
      </c>
      <c r="E88" s="6">
        <v>2.1825958333333331</v>
      </c>
      <c r="F88" s="2"/>
    </row>
    <row r="89" spans="1:6" x14ac:dyDescent="0.2">
      <c r="A89" s="2"/>
      <c r="B89" s="4">
        <v>43556</v>
      </c>
      <c r="C89" s="58">
        <v>509.53</v>
      </c>
      <c r="D89" s="6">
        <v>2.2580512903225802</v>
      </c>
      <c r="E89" s="6">
        <v>2.0111509677419352</v>
      </c>
      <c r="F89" s="2"/>
    </row>
    <row r="90" spans="1:6" x14ac:dyDescent="0.2">
      <c r="A90" s="2"/>
      <c r="B90" s="4">
        <v>43525</v>
      </c>
      <c r="C90" s="58">
        <v>488.5</v>
      </c>
      <c r="D90" s="6">
        <v>2.2315999999999998</v>
      </c>
      <c r="E90" s="6">
        <v>1.75526660714286</v>
      </c>
      <c r="F90" s="2"/>
    </row>
    <row r="91" spans="1:6" x14ac:dyDescent="0.2">
      <c r="A91" s="2"/>
      <c r="B91" s="4">
        <v>43497</v>
      </c>
      <c r="C91" s="58">
        <v>485.5</v>
      </c>
      <c r="D91" s="6">
        <v>2.1076585483870969</v>
      </c>
      <c r="E91" s="6">
        <v>1.6259033870967741</v>
      </c>
      <c r="F91" s="2"/>
    </row>
    <row r="92" spans="1:6" x14ac:dyDescent="0.2">
      <c r="A92" s="2"/>
      <c r="B92" s="4">
        <v>43466</v>
      </c>
      <c r="C92" s="58">
        <v>497.33</v>
      </c>
      <c r="D92" s="6">
        <v>2.0411238709677413</v>
      </c>
      <c r="E92" s="6">
        <v>1.6164953225806451</v>
      </c>
      <c r="F92" s="2"/>
    </row>
    <row r="93" spans="1:6" x14ac:dyDescent="0.2">
      <c r="A93" s="2"/>
      <c r="B93" s="4">
        <v>43435</v>
      </c>
      <c r="C93" s="58">
        <v>519.25</v>
      </c>
      <c r="D93" s="6">
        <v>2.3155049999999999</v>
      </c>
      <c r="E93" s="6">
        <v>1.8088666666666664</v>
      </c>
      <c r="F93" s="2"/>
    </row>
    <row r="94" spans="1:6" x14ac:dyDescent="0.2">
      <c r="A94" s="2"/>
      <c r="B94" s="4">
        <v>43405</v>
      </c>
      <c r="C94" s="58">
        <v>550.25</v>
      </c>
      <c r="D94" s="6">
        <v>2.596829516129032</v>
      </c>
      <c r="E94" s="6">
        <v>2.1684090322580647</v>
      </c>
      <c r="F94" s="2"/>
    </row>
    <row r="95" spans="1:6" x14ac:dyDescent="0.2">
      <c r="A95" s="2"/>
      <c r="B95" s="4">
        <v>43374</v>
      </c>
      <c r="C95" s="58">
        <v>565.82500000000005</v>
      </c>
      <c r="D95" s="6">
        <v>2.5115308333333335</v>
      </c>
      <c r="E95" s="6">
        <v>2.2224283333333346</v>
      </c>
      <c r="F95" s="2"/>
    </row>
    <row r="96" spans="1:6" x14ac:dyDescent="0.2">
      <c r="A96" s="2"/>
      <c r="B96" s="4">
        <v>43344</v>
      </c>
      <c r="C96" s="58">
        <v>566.29999999999995</v>
      </c>
      <c r="D96" s="6">
        <v>2.4069867741935487</v>
      </c>
      <c r="E96" s="6">
        <v>2.1899187096774191</v>
      </c>
      <c r="F96" s="2"/>
    </row>
    <row r="97" spans="1:6" x14ac:dyDescent="0.2">
      <c r="A97" s="2"/>
      <c r="B97" s="4">
        <v>43313</v>
      </c>
      <c r="C97" s="58">
        <v>560.42105263157896</v>
      </c>
      <c r="D97" s="6">
        <v>2.4058762903225808</v>
      </c>
      <c r="E97" s="6">
        <v>2.2251420967741926</v>
      </c>
      <c r="F97" s="2"/>
    </row>
    <row r="98" spans="1:6" x14ac:dyDescent="0.2">
      <c r="A98" s="2"/>
      <c r="B98" s="4">
        <v>43282</v>
      </c>
      <c r="C98" s="58">
        <v>536.41666666666663</v>
      </c>
      <c r="D98" s="6">
        <v>2.3850636666666656</v>
      </c>
      <c r="E98" s="6">
        <v>2.1638291666666674</v>
      </c>
      <c r="F98" s="2"/>
    </row>
    <row r="99" spans="1:6" x14ac:dyDescent="0.2">
      <c r="A99" s="2"/>
      <c r="B99" s="4">
        <v>43252</v>
      </c>
      <c r="C99" s="58">
        <v>497.11</v>
      </c>
      <c r="D99" s="6">
        <v>2.4743517187499999</v>
      </c>
      <c r="E99" s="6">
        <v>2.2686268750000003</v>
      </c>
      <c r="F99" s="2"/>
    </row>
    <row r="100" spans="1:6" x14ac:dyDescent="0.2">
      <c r="A100" s="2"/>
      <c r="B100" s="4">
        <v>43221</v>
      </c>
      <c r="C100" s="58">
        <v>459.26</v>
      </c>
      <c r="D100" s="6">
        <v>2.3302999999999998</v>
      </c>
      <c r="E100" s="6">
        <v>2.1846000000000001</v>
      </c>
      <c r="F100" s="2"/>
    </row>
    <row r="101" spans="1:6" x14ac:dyDescent="0.2">
      <c r="A101" s="2"/>
      <c r="B101" s="4">
        <v>43191</v>
      </c>
      <c r="C101" s="58">
        <v>453.24</v>
      </c>
      <c r="D101" s="6">
        <v>2.1833999999999998</v>
      </c>
      <c r="E101" s="6">
        <v>2.0089999999999999</v>
      </c>
      <c r="F101" s="2"/>
    </row>
    <row r="102" spans="1:6" x14ac:dyDescent="0.2">
      <c r="A102" s="2"/>
      <c r="B102" s="4">
        <v>43160</v>
      </c>
      <c r="C102" s="58">
        <v>430.61</v>
      </c>
      <c r="D102" s="6">
        <v>2.2336</v>
      </c>
      <c r="E102" s="6">
        <v>1.9406000000000001</v>
      </c>
      <c r="F102" s="2"/>
    </row>
    <row r="103" spans="1:6" x14ac:dyDescent="0.2">
      <c r="A103" s="2"/>
      <c r="B103" s="4">
        <v>43132</v>
      </c>
      <c r="C103" s="58">
        <v>415.53</v>
      </c>
      <c r="D103" s="6">
        <v>2.327</v>
      </c>
      <c r="E103" s="6">
        <v>1.9977</v>
      </c>
      <c r="F103" s="2"/>
    </row>
    <row r="104" spans="1:6" x14ac:dyDescent="0.2">
      <c r="A104" s="2"/>
      <c r="B104" s="4">
        <v>43101</v>
      </c>
      <c r="C104" s="58">
        <v>392.5</v>
      </c>
      <c r="D104" s="6">
        <v>2.1737000000000002</v>
      </c>
      <c r="E104" s="6">
        <v>1.8646</v>
      </c>
      <c r="F104" s="2"/>
    </row>
    <row r="105" spans="1:6" x14ac:dyDescent="0.2">
      <c r="A105" s="2"/>
      <c r="B105" s="4">
        <v>43070</v>
      </c>
      <c r="C105" s="58">
        <v>381.47</v>
      </c>
      <c r="D105" s="6">
        <v>2.1715</v>
      </c>
      <c r="E105" s="6">
        <v>1.9026000000000001</v>
      </c>
      <c r="F105" s="2"/>
    </row>
    <row r="106" spans="1:6" x14ac:dyDescent="0.2">
      <c r="A106" s="2"/>
      <c r="B106" s="4">
        <v>43040</v>
      </c>
      <c r="C106" s="58">
        <v>373.68</v>
      </c>
      <c r="D106" s="6">
        <v>2.0545</v>
      </c>
      <c r="E106" s="6">
        <v>1.8170999999999999</v>
      </c>
      <c r="F106" s="2"/>
    </row>
    <row r="107" spans="1:6" x14ac:dyDescent="0.2">
      <c r="A107" s="2"/>
      <c r="B107" s="4">
        <v>43009</v>
      </c>
      <c r="C107" s="58">
        <v>368.33</v>
      </c>
      <c r="D107" s="6">
        <v>2.1412</v>
      </c>
      <c r="E107" s="6">
        <v>2.0129000000000001</v>
      </c>
      <c r="F107" s="2"/>
    </row>
    <row r="108" spans="1:6" x14ac:dyDescent="0.2">
      <c r="A108" s="2"/>
      <c r="B108" s="4">
        <v>42979</v>
      </c>
      <c r="C108" s="58">
        <v>382.14</v>
      </c>
      <c r="D108" s="6">
        <v>1.8818999999999999</v>
      </c>
      <c r="E108" s="6">
        <v>1.7885</v>
      </c>
      <c r="F108" s="2"/>
    </row>
    <row r="109" spans="1:6" x14ac:dyDescent="0.2">
      <c r="A109" s="2"/>
      <c r="B109" s="4">
        <v>42948</v>
      </c>
      <c r="C109" s="58">
        <v>384.64</v>
      </c>
      <c r="D109" s="6">
        <v>1.7617</v>
      </c>
      <c r="E109" s="6">
        <v>1.6922999999999999</v>
      </c>
      <c r="F109" s="2"/>
    </row>
    <row r="110" spans="1:6" x14ac:dyDescent="0.2">
      <c r="A110" s="2"/>
      <c r="B110" s="4">
        <v>42917</v>
      </c>
      <c r="C110" s="58">
        <v>397.86</v>
      </c>
      <c r="D110" s="6">
        <v>1.6467000000000001</v>
      </c>
      <c r="E110" s="6">
        <v>1.6040000000000001</v>
      </c>
      <c r="F110" s="2"/>
    </row>
    <row r="111" spans="1:6" x14ac:dyDescent="0.2">
      <c r="A111" s="2"/>
      <c r="B111" s="4">
        <v>42887</v>
      </c>
      <c r="C111" s="58">
        <v>402.5</v>
      </c>
      <c r="D111" s="6">
        <v>1.7474000000000001</v>
      </c>
      <c r="E111" s="6">
        <v>1.7136</v>
      </c>
      <c r="F111" s="2"/>
    </row>
    <row r="112" spans="1:6" x14ac:dyDescent="0.2">
      <c r="A112" s="2"/>
      <c r="B112" s="4">
        <v>42856</v>
      </c>
      <c r="C112" s="58">
        <v>397.86</v>
      </c>
      <c r="D112" s="6">
        <v>1.8270999999999999</v>
      </c>
      <c r="E112" s="6">
        <v>1.8122</v>
      </c>
      <c r="F112" s="2"/>
    </row>
    <row r="113" spans="1:6" x14ac:dyDescent="0.2">
      <c r="A113" s="2"/>
      <c r="B113" s="4">
        <v>42826</v>
      </c>
      <c r="C113" s="58">
        <v>390.81</v>
      </c>
      <c r="D113" s="6">
        <v>1.7738</v>
      </c>
      <c r="E113" s="6">
        <v>1.7143999999999999</v>
      </c>
      <c r="F113" s="2"/>
    </row>
    <row r="114" spans="1:6" x14ac:dyDescent="0.2">
      <c r="A114" s="2"/>
      <c r="B114" s="4">
        <v>42795</v>
      </c>
      <c r="C114" s="58">
        <v>377.8</v>
      </c>
      <c r="D114" s="6">
        <v>1.8888</v>
      </c>
      <c r="E114" s="6">
        <v>1.7327999999999999</v>
      </c>
      <c r="F114" s="2"/>
    </row>
    <row r="115" spans="1:6" x14ac:dyDescent="0.2">
      <c r="A115" s="2"/>
      <c r="B115" s="4">
        <v>42767</v>
      </c>
      <c r="C115" s="58">
        <v>359.96</v>
      </c>
      <c r="D115" s="6">
        <v>1.8746</v>
      </c>
      <c r="E115" s="6">
        <v>1.7514000000000001</v>
      </c>
      <c r="F115" s="2"/>
    </row>
    <row r="116" spans="1:6" x14ac:dyDescent="0.2">
      <c r="A116" s="2"/>
      <c r="B116" s="4">
        <v>42736</v>
      </c>
      <c r="C116" s="58">
        <v>340.7</v>
      </c>
      <c r="D116" s="6">
        <v>1.8785000000000001</v>
      </c>
      <c r="E116" s="6">
        <v>1.7726</v>
      </c>
      <c r="F116" s="2"/>
    </row>
    <row r="117" spans="1:6" x14ac:dyDescent="0.2">
      <c r="A117" s="2"/>
      <c r="B117" s="4">
        <v>42705</v>
      </c>
      <c r="C117" s="58">
        <v>334.14</v>
      </c>
      <c r="D117" s="6">
        <v>1.7176</v>
      </c>
      <c r="E117" s="6">
        <v>1.5892999999999999</v>
      </c>
      <c r="F117" s="2"/>
    </row>
    <row r="118" spans="1:6" x14ac:dyDescent="0.2">
      <c r="A118" s="2"/>
      <c r="B118" s="4">
        <v>42675</v>
      </c>
      <c r="C118" s="58">
        <v>337.15</v>
      </c>
      <c r="D118" s="6">
        <v>1.8109999999999999</v>
      </c>
      <c r="E118" s="6">
        <v>1.7203999999999999</v>
      </c>
      <c r="F118" s="2"/>
    </row>
    <row r="119" spans="1:6" x14ac:dyDescent="0.2">
      <c r="A119" s="2"/>
      <c r="B119" s="4">
        <v>42644</v>
      </c>
      <c r="C119" s="58">
        <v>340.83</v>
      </c>
      <c r="D119" s="6">
        <v>1.6808000000000001</v>
      </c>
      <c r="E119" s="6">
        <v>1.6304000000000001</v>
      </c>
      <c r="F119" s="2"/>
    </row>
    <row r="120" spans="1:6" x14ac:dyDescent="0.2">
      <c r="A120" s="2"/>
      <c r="B120" s="4">
        <v>42614</v>
      </c>
      <c r="C120" s="58">
        <v>349.67</v>
      </c>
      <c r="D120" s="6">
        <v>1.6543000000000001</v>
      </c>
      <c r="E120" s="6">
        <v>1.5893999999999999</v>
      </c>
      <c r="F120" s="2"/>
    </row>
    <row r="121" spans="1:6" x14ac:dyDescent="0.2">
      <c r="A121" s="2"/>
      <c r="B121" s="4">
        <v>42583</v>
      </c>
      <c r="C121" s="58">
        <v>359.67</v>
      </c>
      <c r="D121" s="6">
        <v>1.6224000000000001</v>
      </c>
      <c r="E121" s="6">
        <v>1.5367999999999999</v>
      </c>
      <c r="F121" s="2"/>
    </row>
    <row r="122" spans="1:6" x14ac:dyDescent="0.2">
      <c r="A122" s="2"/>
      <c r="B122" s="4">
        <v>42552</v>
      </c>
      <c r="C122" s="58">
        <v>358</v>
      </c>
      <c r="D122" s="6">
        <v>1.7257</v>
      </c>
      <c r="E122" s="6">
        <v>1.7124999999999999</v>
      </c>
      <c r="F122" s="2"/>
    </row>
    <row r="123" spans="1:6" x14ac:dyDescent="0.2">
      <c r="A123" s="2"/>
      <c r="B123" s="4">
        <v>42522</v>
      </c>
      <c r="C123" s="58">
        <v>347</v>
      </c>
      <c r="D123" s="6">
        <v>1.6535</v>
      </c>
      <c r="E123" s="6">
        <v>1.7665999999999999</v>
      </c>
      <c r="F123" s="2"/>
    </row>
    <row r="124" spans="1:6" x14ac:dyDescent="0.2">
      <c r="A124" s="2"/>
      <c r="B124" s="4">
        <v>42491</v>
      </c>
      <c r="C124" s="58">
        <v>342</v>
      </c>
      <c r="D124" s="6">
        <v>1.4926999999999999</v>
      </c>
      <c r="E124" s="6">
        <v>1.6177999999999999</v>
      </c>
      <c r="F124" s="2"/>
    </row>
    <row r="125" spans="1:6" x14ac:dyDescent="0.2">
      <c r="A125" s="2"/>
      <c r="B125" s="4">
        <v>42461</v>
      </c>
      <c r="C125" s="58">
        <v>360.52</v>
      </c>
      <c r="D125" s="6">
        <v>1.4316</v>
      </c>
      <c r="E125" s="6">
        <v>1.4652000000000001</v>
      </c>
      <c r="F125" s="2"/>
    </row>
    <row r="126" spans="1:6" x14ac:dyDescent="0.2">
      <c r="A126" s="2"/>
      <c r="B126" s="4">
        <v>42430</v>
      </c>
      <c r="C126" s="58">
        <v>380.47</v>
      </c>
      <c r="D126" s="6">
        <v>1.2865</v>
      </c>
      <c r="E126" s="6">
        <v>1.2242</v>
      </c>
      <c r="F126" s="2"/>
    </row>
    <row r="127" spans="1:6" x14ac:dyDescent="0.2">
      <c r="A127" s="2"/>
      <c r="B127" s="4">
        <v>42401</v>
      </c>
      <c r="C127" s="58">
        <v>392.14</v>
      </c>
      <c r="D127" s="6">
        <v>1.2552000000000001</v>
      </c>
      <c r="E127" s="6">
        <v>1.3438000000000001</v>
      </c>
      <c r="F127" s="2"/>
    </row>
    <row r="128" spans="1:6" x14ac:dyDescent="0.2">
      <c r="A128" s="2"/>
      <c r="B128" s="4">
        <v>42370</v>
      </c>
      <c r="C128" s="58">
        <v>418.25</v>
      </c>
      <c r="D128" s="6">
        <v>1.3824000000000001</v>
      </c>
      <c r="E128" s="6">
        <v>1.4942</v>
      </c>
      <c r="F128" s="2"/>
    </row>
    <row r="129" spans="1:6" x14ac:dyDescent="0.2">
      <c r="A129" s="2"/>
      <c r="B129" s="4">
        <v>42339</v>
      </c>
      <c r="C129" s="58">
        <v>440.67</v>
      </c>
      <c r="D129" s="6">
        <v>1.6398999999999999</v>
      </c>
      <c r="E129" s="6">
        <v>1.5542</v>
      </c>
      <c r="F129" s="2"/>
    </row>
    <row r="130" spans="1:6" x14ac:dyDescent="0.2">
      <c r="A130" s="2"/>
      <c r="B130" s="4">
        <v>42309</v>
      </c>
      <c r="C130" s="58">
        <v>440.6</v>
      </c>
      <c r="D130" s="6">
        <v>1.7138</v>
      </c>
      <c r="E130" s="6">
        <v>1.6343000000000001</v>
      </c>
      <c r="F130" s="2"/>
    </row>
    <row r="131" spans="1:6" x14ac:dyDescent="0.2">
      <c r="A131" s="2"/>
      <c r="B131" s="4">
        <v>42278</v>
      </c>
      <c r="C131" s="58">
        <v>454.77</v>
      </c>
      <c r="D131" s="6">
        <v>1.7254</v>
      </c>
      <c r="E131" s="6">
        <v>1.6517999999999999</v>
      </c>
      <c r="F131" s="2"/>
    </row>
    <row r="132" spans="1:6" x14ac:dyDescent="0.2">
      <c r="A132" s="2"/>
      <c r="B132" s="4">
        <v>42248</v>
      </c>
      <c r="C132" s="58">
        <v>471.6</v>
      </c>
      <c r="D132" s="6">
        <v>1.7459</v>
      </c>
      <c r="E132" s="6">
        <v>1.7661</v>
      </c>
      <c r="F132" s="2"/>
    </row>
    <row r="133" spans="1:6" x14ac:dyDescent="0.2">
      <c r="A133" s="2"/>
      <c r="B133" s="4">
        <v>42217</v>
      </c>
      <c r="C133" s="58">
        <v>480.72</v>
      </c>
      <c r="D133" s="6">
        <v>1.9603999999999999</v>
      </c>
      <c r="E133" s="6">
        <v>2.0259999999999998</v>
      </c>
      <c r="F133" s="2"/>
    </row>
    <row r="134" spans="1:6" x14ac:dyDescent="0.2">
      <c r="A134" s="2"/>
      <c r="B134" s="4">
        <v>42186</v>
      </c>
      <c r="C134" s="58">
        <v>472.76</v>
      </c>
      <c r="D134" s="6">
        <v>2.1255000000000002</v>
      </c>
      <c r="E134" s="6">
        <v>2.1878000000000002</v>
      </c>
      <c r="F134" s="2"/>
    </row>
    <row r="135" spans="1:6" x14ac:dyDescent="0.2">
      <c r="A135" s="2"/>
      <c r="B135" s="4">
        <v>42156</v>
      </c>
      <c r="C135" s="58">
        <v>470.73</v>
      </c>
      <c r="D135" s="6">
        <v>2.2368000000000001</v>
      </c>
      <c r="E135" s="6">
        <v>2.1518999999999999</v>
      </c>
      <c r="F135" s="2"/>
    </row>
    <row r="136" spans="1:6" x14ac:dyDescent="0.2">
      <c r="A136" s="2"/>
      <c r="B136" s="4">
        <v>42125</v>
      </c>
      <c r="C136" s="58">
        <v>488.75</v>
      </c>
      <c r="D136" s="6">
        <v>2.0924999999999998</v>
      </c>
      <c r="E136" s="6">
        <v>1.9355</v>
      </c>
      <c r="F136" s="2"/>
    </row>
    <row r="137" spans="1:6" x14ac:dyDescent="0.2">
      <c r="A137" s="2"/>
      <c r="B137" s="4">
        <v>42095</v>
      </c>
      <c r="C137" s="58">
        <v>517.01</v>
      </c>
      <c r="D137" s="6">
        <v>2.1334</v>
      </c>
      <c r="E137" s="6">
        <v>1.847</v>
      </c>
      <c r="F137" s="2"/>
    </row>
    <row r="138" spans="1:6" x14ac:dyDescent="0.2">
      <c r="A138" s="2"/>
      <c r="B138" s="4">
        <v>42064</v>
      </c>
      <c r="C138" s="58">
        <v>546.99</v>
      </c>
      <c r="D138" s="6">
        <v>2.1806999999999999</v>
      </c>
      <c r="E138" s="6">
        <v>1.7928999999999999</v>
      </c>
      <c r="F138" s="2"/>
    </row>
    <row r="139" spans="1:6" x14ac:dyDescent="0.2">
      <c r="A139" s="2"/>
      <c r="B139" s="4">
        <v>42036</v>
      </c>
      <c r="C139" s="58">
        <v>566.47</v>
      </c>
      <c r="D139" s="6">
        <v>1.9596</v>
      </c>
      <c r="E139" s="6">
        <v>1.6415999999999999</v>
      </c>
      <c r="F139" s="2"/>
    </row>
    <row r="140" spans="1:6" x14ac:dyDescent="0.2">
      <c r="A140" s="2"/>
      <c r="B140" s="4">
        <v>42005</v>
      </c>
      <c r="C140" s="58">
        <v>586.6</v>
      </c>
      <c r="D140" s="6">
        <v>2.2277999999999998</v>
      </c>
      <c r="E140" s="6">
        <v>1.8803000000000001</v>
      </c>
      <c r="F140" s="2"/>
    </row>
    <row r="141" spans="1:6" x14ac:dyDescent="0.2">
      <c r="A141" s="2"/>
      <c r="B141" s="4">
        <v>41974</v>
      </c>
      <c r="C141" s="58">
        <v>602.35</v>
      </c>
      <c r="D141" s="6">
        <v>2.6947999999999999</v>
      </c>
      <c r="E141" s="6">
        <v>2.2982</v>
      </c>
      <c r="F141" s="2"/>
    </row>
    <row r="142" spans="1:6" x14ac:dyDescent="0.2">
      <c r="A142" s="2"/>
      <c r="B142" s="4">
        <v>41944</v>
      </c>
      <c r="C142" s="58">
        <v>616.54</v>
      </c>
      <c r="D142" s="6">
        <v>2.8062999999999998</v>
      </c>
      <c r="E142" s="6">
        <v>2.4453999999999998</v>
      </c>
      <c r="F142" s="2"/>
    </row>
    <row r="143" spans="1:6" x14ac:dyDescent="0.2">
      <c r="A143" s="2"/>
      <c r="B143" s="4">
        <v>41913</v>
      </c>
      <c r="C143" s="58">
        <v>628.08000000000004</v>
      </c>
      <c r="D143" s="6">
        <v>3.0066000000000002</v>
      </c>
      <c r="E143" s="6">
        <v>2.8336999999999999</v>
      </c>
      <c r="F143" s="2"/>
    </row>
    <row r="144" spans="1:6" x14ac:dyDescent="0.2">
      <c r="A144" s="2"/>
      <c r="B144" s="4">
        <v>41883</v>
      </c>
      <c r="C144" s="58">
        <v>632.30999999999995</v>
      </c>
      <c r="D144" s="6">
        <v>3.1049000000000002</v>
      </c>
      <c r="E144" s="6">
        <v>2.8275999999999999</v>
      </c>
      <c r="F144" s="2"/>
    </row>
    <row r="145" spans="1:6" x14ac:dyDescent="0.2">
      <c r="A145" s="2"/>
      <c r="B145" s="4">
        <v>41852</v>
      </c>
      <c r="C145" s="58">
        <v>620.91</v>
      </c>
      <c r="D145" s="6">
        <v>3.1442000000000001</v>
      </c>
      <c r="E145" s="6">
        <v>2.8996</v>
      </c>
      <c r="F145" s="2"/>
    </row>
    <row r="146" spans="1:6" x14ac:dyDescent="0.2">
      <c r="A146" s="2"/>
      <c r="B146" s="4">
        <v>41821</v>
      </c>
      <c r="C146" s="58">
        <v>608.64</v>
      </c>
      <c r="D146" s="6">
        <v>3.2439</v>
      </c>
      <c r="E146" s="6">
        <v>3.0766</v>
      </c>
      <c r="F146" s="2"/>
    </row>
    <row r="147" spans="1:6" x14ac:dyDescent="0.2">
      <c r="A147" s="2"/>
      <c r="B147" s="4">
        <v>41791</v>
      </c>
      <c r="C147" s="58">
        <v>592.27</v>
      </c>
      <c r="D147" s="6">
        <v>3.2437</v>
      </c>
      <c r="E147" s="6">
        <v>3.1480000000000001</v>
      </c>
      <c r="F147" s="2"/>
    </row>
    <row r="148" spans="1:6" x14ac:dyDescent="0.2">
      <c r="A148" s="2"/>
      <c r="B148" s="4">
        <v>41760</v>
      </c>
      <c r="C148" s="58">
        <v>584.54999999999995</v>
      </c>
      <c r="D148" s="6">
        <v>3.3134999999999999</v>
      </c>
      <c r="E148" s="6">
        <v>3.1894</v>
      </c>
      <c r="F148" s="2"/>
    </row>
    <row r="149" spans="1:6" x14ac:dyDescent="0.2">
      <c r="A149" s="2"/>
      <c r="B149" s="4">
        <v>41730</v>
      </c>
      <c r="C149" s="58">
        <v>570.5</v>
      </c>
      <c r="D149" s="6">
        <v>3.3929999999999998</v>
      </c>
      <c r="E149" s="6">
        <v>2.9569000000000001</v>
      </c>
      <c r="F149" s="2"/>
    </row>
    <row r="150" spans="1:6" x14ac:dyDescent="0.2">
      <c r="A150" s="2"/>
      <c r="B150" s="4">
        <v>41699</v>
      </c>
      <c r="C150" s="58">
        <v>573.17999999999995</v>
      </c>
      <c r="D150" s="6">
        <v>3.4053</v>
      </c>
      <c r="E150" s="6">
        <v>2.8460999999999999</v>
      </c>
      <c r="F150" s="2"/>
    </row>
    <row r="151" spans="1:6" x14ac:dyDescent="0.2">
      <c r="A151" s="2"/>
      <c r="B151" s="4">
        <v>41671</v>
      </c>
      <c r="C151" s="58">
        <v>574.44000000000005</v>
      </c>
      <c r="D151" s="6">
        <v>3.2366999999999999</v>
      </c>
      <c r="E151" s="6">
        <v>2.7953000000000001</v>
      </c>
      <c r="F151" s="2"/>
    </row>
    <row r="152" spans="1:6" x14ac:dyDescent="0.2">
      <c r="A152" s="2"/>
      <c r="B152" s="4">
        <v>41640</v>
      </c>
      <c r="C152" s="58">
        <v>587.65</v>
      </c>
      <c r="D152" s="6">
        <v>3.2808999999999999</v>
      </c>
      <c r="E152" s="6">
        <v>2.7938000000000001</v>
      </c>
      <c r="F152" s="2"/>
    </row>
    <row r="153" spans="1:6" x14ac:dyDescent="0.2">
      <c r="A153" s="2"/>
      <c r="B153" s="4">
        <v>41609</v>
      </c>
      <c r="C153" s="58">
        <v>589.5</v>
      </c>
      <c r="D153" s="6">
        <v>3.1962000000000002</v>
      </c>
      <c r="E153" s="6">
        <v>2.7959000000000001</v>
      </c>
      <c r="F153" s="2"/>
    </row>
    <row r="154" spans="1:6" x14ac:dyDescent="0.2">
      <c r="A154" s="2"/>
      <c r="B154" s="4">
        <v>41579</v>
      </c>
      <c r="C154" s="58">
        <v>591.36</v>
      </c>
      <c r="D154" s="6">
        <v>3.2501000000000002</v>
      </c>
      <c r="E154" s="6">
        <v>2.8222</v>
      </c>
      <c r="F154" s="2"/>
    </row>
    <row r="155" spans="1:6" x14ac:dyDescent="0.2">
      <c r="A155" s="2"/>
      <c r="B155" s="4">
        <v>41548</v>
      </c>
      <c r="C155" s="58">
        <v>586.82000000000005</v>
      </c>
      <c r="D155" s="6">
        <v>3.3172999999999999</v>
      </c>
      <c r="E155" s="6">
        <v>2.8494000000000002</v>
      </c>
      <c r="F155" s="2"/>
    </row>
    <row r="156" spans="1:6" x14ac:dyDescent="0.2">
      <c r="A156" s="2"/>
      <c r="B156" s="4">
        <v>41518</v>
      </c>
      <c r="C156" s="58">
        <v>585.41999999999996</v>
      </c>
      <c r="D156" s="6">
        <v>3.3250000000000002</v>
      </c>
      <c r="E156" s="6">
        <v>2.9702999999999999</v>
      </c>
      <c r="F156" s="2"/>
    </row>
    <row r="157" spans="1:6" x14ac:dyDescent="0.2">
      <c r="A157" s="2"/>
      <c r="B157" s="4">
        <v>41487</v>
      </c>
      <c r="C157" s="58">
        <v>600</v>
      </c>
      <c r="D157" s="6">
        <v>3.2597</v>
      </c>
      <c r="E157" s="6">
        <v>2.9889000000000001</v>
      </c>
      <c r="F157" s="2"/>
    </row>
    <row r="158" spans="1:6" x14ac:dyDescent="0.2">
      <c r="A158" s="2"/>
      <c r="B158" s="4">
        <v>41456</v>
      </c>
      <c r="C158" s="58">
        <v>608.11</v>
      </c>
      <c r="D158" s="6">
        <v>3.1347999999999998</v>
      </c>
      <c r="E158" s="6">
        <v>2.8980999999999999</v>
      </c>
      <c r="F158" s="2"/>
    </row>
    <row r="159" spans="1:6" x14ac:dyDescent="0.2">
      <c r="A159" s="2"/>
      <c r="B159" s="4">
        <v>41426</v>
      </c>
      <c r="C159" s="58">
        <v>596.75</v>
      </c>
      <c r="D159" s="6">
        <v>3.1375000000000002</v>
      </c>
      <c r="E159" s="6">
        <v>2.9238</v>
      </c>
      <c r="F159" s="2"/>
    </row>
    <row r="160" spans="1:6" x14ac:dyDescent="0.2">
      <c r="A160" s="2"/>
      <c r="B160" s="4">
        <v>41395</v>
      </c>
      <c r="C160" s="58">
        <v>573</v>
      </c>
      <c r="D160" s="6">
        <v>3.1042000000000001</v>
      </c>
      <c r="E160" s="6">
        <v>2.9453</v>
      </c>
      <c r="F160" s="2"/>
    </row>
    <row r="161" spans="1:6" x14ac:dyDescent="0.2">
      <c r="A161" s="2"/>
      <c r="B161" s="4">
        <v>41365</v>
      </c>
      <c r="C161" s="58">
        <v>568.75</v>
      </c>
      <c r="D161" s="6">
        <v>3.3092000000000001</v>
      </c>
      <c r="E161" s="6">
        <v>3.1065999999999998</v>
      </c>
      <c r="F161" s="2"/>
    </row>
    <row r="162" spans="1:6" x14ac:dyDescent="0.2">
      <c r="A162" s="2"/>
      <c r="B162" s="4">
        <v>41334</v>
      </c>
      <c r="C162" s="58">
        <v>566.58000000000004</v>
      </c>
      <c r="D162" s="6">
        <v>3.4750999999999999</v>
      </c>
      <c r="E162" s="6">
        <v>3.2553000000000001</v>
      </c>
      <c r="F162" s="2"/>
    </row>
    <row r="163" spans="1:6" x14ac:dyDescent="0.2">
      <c r="A163" s="2"/>
      <c r="B163" s="4">
        <v>41322</v>
      </c>
      <c r="C163" s="58">
        <v>568.22</v>
      </c>
      <c r="D163" s="6">
        <v>3.55</v>
      </c>
      <c r="E163" s="6">
        <v>3.1406000000000001</v>
      </c>
      <c r="F163" s="2"/>
    </row>
    <row r="164" spans="1:6" x14ac:dyDescent="0.2">
      <c r="A164" s="2"/>
      <c r="B164" s="4">
        <v>41306</v>
      </c>
      <c r="C164" s="58">
        <v>559.91999999999996</v>
      </c>
      <c r="D164" s="6">
        <v>3.3957000000000002</v>
      </c>
      <c r="E164" s="6">
        <v>2.9872999999999998</v>
      </c>
      <c r="F164" s="2"/>
    </row>
    <row r="165" spans="1:6" x14ac:dyDescent="0.2">
      <c r="A165" s="2"/>
      <c r="B165" s="4">
        <v>41291</v>
      </c>
      <c r="C165" s="58">
        <v>560.75</v>
      </c>
      <c r="D165" s="6">
        <v>3.3597999999999999</v>
      </c>
      <c r="E165" s="6">
        <v>2.9378000000000002</v>
      </c>
      <c r="F165" s="2"/>
    </row>
    <row r="166" spans="1:6" x14ac:dyDescent="0.2">
      <c r="A166" s="2"/>
      <c r="B166" s="4">
        <v>41275</v>
      </c>
      <c r="C166" s="58">
        <v>562.83000000000004</v>
      </c>
      <c r="D166" s="6">
        <v>3.3794</v>
      </c>
      <c r="E166" s="6">
        <v>2.8915999999999999</v>
      </c>
      <c r="F166" s="2"/>
    </row>
    <row r="167" spans="1:6" x14ac:dyDescent="0.2">
      <c r="A167" s="2"/>
      <c r="B167" s="4">
        <v>41260</v>
      </c>
      <c r="C167" s="58">
        <v>560.33000000000004</v>
      </c>
      <c r="D167" s="6">
        <v>3.3942000000000001</v>
      </c>
      <c r="E167" s="6">
        <v>2.7597999999999998</v>
      </c>
      <c r="F167" s="2"/>
    </row>
    <row r="168" spans="1:6" x14ac:dyDescent="0.2">
      <c r="A168" s="2"/>
      <c r="B168" s="4">
        <v>41244</v>
      </c>
      <c r="C168" s="58">
        <v>561.16999999999996</v>
      </c>
      <c r="D168" s="6">
        <v>3.5289999999999999</v>
      </c>
      <c r="E168" s="6">
        <v>2.8988999999999998</v>
      </c>
      <c r="F168" s="2"/>
    </row>
    <row r="169" spans="1:6" x14ac:dyDescent="0.2">
      <c r="A169" s="2"/>
      <c r="B169" s="4">
        <v>41230</v>
      </c>
      <c r="C169" s="58">
        <v>561.08000000000004</v>
      </c>
      <c r="D169" s="6">
        <v>3.3647</v>
      </c>
      <c r="E169" s="6">
        <v>2.8161999999999998</v>
      </c>
      <c r="F169" s="2"/>
    </row>
    <row r="170" spans="1:6" x14ac:dyDescent="0.2">
      <c r="A170" s="2"/>
      <c r="B170" s="4">
        <v>41214</v>
      </c>
      <c r="C170" s="58">
        <v>562.75</v>
      </c>
      <c r="D170" s="6">
        <v>3.3898000000000001</v>
      </c>
      <c r="E170" s="6">
        <v>2.8140000000000001</v>
      </c>
      <c r="F170" s="2"/>
    </row>
    <row r="171" spans="1:6" x14ac:dyDescent="0.2">
      <c r="A171" s="2"/>
      <c r="B171" s="4">
        <v>41199</v>
      </c>
      <c r="C171" s="58">
        <v>569.83000000000004</v>
      </c>
      <c r="D171" s="6">
        <v>3.5125999999999999</v>
      </c>
      <c r="E171" s="6">
        <v>3.1781000000000001</v>
      </c>
      <c r="F171" s="2"/>
    </row>
    <row r="172" spans="1:6" x14ac:dyDescent="0.2">
      <c r="A172" s="2"/>
      <c r="B172" s="4">
        <v>41183</v>
      </c>
      <c r="C172" s="58">
        <v>571.91999999999996</v>
      </c>
      <c r="D172" s="6">
        <v>3.4375</v>
      </c>
      <c r="E172" s="6">
        <v>3.1612</v>
      </c>
      <c r="F172" s="2"/>
    </row>
    <row r="173" spans="1:6" x14ac:dyDescent="0.2">
      <c r="A173" s="2"/>
      <c r="B173" s="4">
        <v>41169</v>
      </c>
      <c r="C173" s="58">
        <v>582.88</v>
      </c>
      <c r="D173" s="6">
        <v>3.5255999999999998</v>
      </c>
      <c r="E173" s="6">
        <v>3.3024</v>
      </c>
      <c r="F173" s="2"/>
    </row>
    <row r="174" spans="1:6" x14ac:dyDescent="0.2">
      <c r="A174" s="2"/>
      <c r="B174" s="4">
        <v>41153</v>
      </c>
      <c r="C174" s="58">
        <v>585.16999999999996</v>
      </c>
      <c r="D174" s="6">
        <v>3.4971999999999999</v>
      </c>
      <c r="E174" s="6">
        <v>3.2480000000000002</v>
      </c>
      <c r="F174" s="2"/>
    </row>
    <row r="175" spans="1:6" x14ac:dyDescent="0.2">
      <c r="A175" s="2"/>
      <c r="B175" s="4">
        <v>41138</v>
      </c>
      <c r="C175" s="58">
        <v>601.41999999999996</v>
      </c>
      <c r="D175" s="6">
        <v>3.355</v>
      </c>
      <c r="E175" s="6">
        <v>3.1337000000000002</v>
      </c>
      <c r="F175" s="2"/>
    </row>
    <row r="176" spans="1:6" x14ac:dyDescent="0.2">
      <c r="A176" s="2"/>
      <c r="B176" s="4">
        <v>41122</v>
      </c>
      <c r="C176" s="58">
        <v>610.58000000000004</v>
      </c>
      <c r="D176" s="6">
        <v>3.2029999999999998</v>
      </c>
      <c r="E176" s="6">
        <v>2.9340999999999999</v>
      </c>
      <c r="F176" s="2"/>
    </row>
    <row r="177" spans="1:6" x14ac:dyDescent="0.2">
      <c r="A177" s="2"/>
      <c r="B177" s="4">
        <v>41107</v>
      </c>
      <c r="C177" s="58">
        <v>628.41999999999996</v>
      </c>
      <c r="D177" s="6">
        <v>3.1046</v>
      </c>
      <c r="E177" s="6">
        <v>2.7843</v>
      </c>
      <c r="F177" s="2"/>
    </row>
    <row r="178" spans="1:6" x14ac:dyDescent="0.2">
      <c r="A178" s="2"/>
      <c r="B178" s="4">
        <v>41091</v>
      </c>
      <c r="C178" s="58">
        <v>632.83000000000004</v>
      </c>
      <c r="D178" s="6">
        <v>2.9205999999999999</v>
      </c>
      <c r="E178" s="6">
        <v>2.6318999999999999</v>
      </c>
      <c r="F178" s="2"/>
    </row>
    <row r="179" spans="1:6" x14ac:dyDescent="0.2">
      <c r="A179" s="2"/>
      <c r="B179" s="4">
        <v>41077</v>
      </c>
      <c r="C179" s="58">
        <v>646.58000000000004</v>
      </c>
      <c r="D179" s="6">
        <v>2.9565999999999999</v>
      </c>
      <c r="E179" s="6">
        <v>2.8167</v>
      </c>
      <c r="F179" s="2"/>
    </row>
    <row r="180" spans="1:6" x14ac:dyDescent="0.2">
      <c r="A180" s="2"/>
      <c r="B180" s="4">
        <v>41061</v>
      </c>
      <c r="C180" s="58">
        <v>647.83000000000004</v>
      </c>
      <c r="D180" s="6">
        <v>3.1225999999999998</v>
      </c>
      <c r="E180" s="6">
        <v>2.9447000000000001</v>
      </c>
      <c r="F180" s="2"/>
    </row>
    <row r="181" spans="1:6" x14ac:dyDescent="0.2">
      <c r="A181" s="2"/>
      <c r="B181" s="4">
        <v>41046</v>
      </c>
      <c r="C181" s="58">
        <v>650.5</v>
      </c>
      <c r="D181" s="6">
        <v>3.3319000000000001</v>
      </c>
      <c r="E181" s="6">
        <v>3.0630999999999999</v>
      </c>
      <c r="F181" s="2"/>
    </row>
    <row r="182" spans="1:6" x14ac:dyDescent="0.2">
      <c r="A182" s="2"/>
      <c r="B182" s="4">
        <v>41030</v>
      </c>
      <c r="C182" s="58">
        <v>648.33000000000004</v>
      </c>
      <c r="D182" s="6">
        <v>3.4710999999999999</v>
      </c>
      <c r="E182" s="6">
        <v>3.1968000000000001</v>
      </c>
      <c r="F182" s="2"/>
    </row>
    <row r="183" spans="1:6" x14ac:dyDescent="0.2">
      <c r="A183" s="2"/>
      <c r="B183" s="4">
        <v>41016</v>
      </c>
      <c r="C183" s="58">
        <v>644.91999999999996</v>
      </c>
      <c r="D183" s="6">
        <v>3.5059</v>
      </c>
      <c r="E183" s="6">
        <v>3.4026000000000001</v>
      </c>
      <c r="F183" s="2"/>
    </row>
    <row r="184" spans="1:6" x14ac:dyDescent="0.2">
      <c r="A184" s="2"/>
      <c r="B184" s="4">
        <v>41000</v>
      </c>
      <c r="C184" s="58">
        <v>636.66999999999996</v>
      </c>
      <c r="D184" s="6">
        <v>3.5909</v>
      </c>
      <c r="E184" s="6">
        <v>3.4171</v>
      </c>
      <c r="F184" s="2"/>
    </row>
    <row r="185" spans="1:6" x14ac:dyDescent="0.2">
      <c r="A185" s="2"/>
      <c r="B185" s="4">
        <v>40985</v>
      </c>
      <c r="C185" s="58">
        <v>638.75</v>
      </c>
      <c r="D185" s="6">
        <v>3.5909</v>
      </c>
      <c r="E185" s="6">
        <v>3.2776999999999998</v>
      </c>
      <c r="F185" s="2"/>
    </row>
    <row r="186" spans="1:6" x14ac:dyDescent="0.2">
      <c r="A186" s="2"/>
      <c r="B186" s="4">
        <v>40969</v>
      </c>
      <c r="C186" s="58">
        <v>635.91</v>
      </c>
      <c r="D186" s="6">
        <v>3.5590999999999999</v>
      </c>
      <c r="E186" s="6">
        <v>3.2363</v>
      </c>
      <c r="F186" s="2"/>
    </row>
    <row r="187" spans="1:6" x14ac:dyDescent="0.2">
      <c r="A187" s="2"/>
      <c r="B187" s="4">
        <v>40956</v>
      </c>
      <c r="C187" s="58">
        <v>626.91</v>
      </c>
      <c r="D187" s="6">
        <v>3.4468000000000001</v>
      </c>
      <c r="E187" s="6">
        <v>3.0937999999999999</v>
      </c>
      <c r="F187" s="2"/>
    </row>
    <row r="188" spans="1:6" x14ac:dyDescent="0.2">
      <c r="A188" s="2"/>
      <c r="B188" s="4">
        <v>40940</v>
      </c>
      <c r="C188" s="58">
        <v>626</v>
      </c>
      <c r="D188" s="6">
        <v>3.3243999999999998</v>
      </c>
      <c r="E188" s="6">
        <v>2.9998</v>
      </c>
      <c r="F188" s="2"/>
    </row>
    <row r="189" spans="1:6" x14ac:dyDescent="0.2">
      <c r="A189" s="2"/>
      <c r="B189" s="4">
        <v>40925</v>
      </c>
      <c r="C189" s="58">
        <v>613.73</v>
      </c>
      <c r="D189" s="6">
        <v>3.3395999999999999</v>
      </c>
      <c r="E189" s="6">
        <v>2.9112</v>
      </c>
      <c r="F189" s="2"/>
    </row>
    <row r="190" spans="1:6" x14ac:dyDescent="0.2">
      <c r="A190" s="131"/>
      <c r="B190" s="4">
        <v>40909</v>
      </c>
      <c r="C190" s="58">
        <v>602.5</v>
      </c>
      <c r="D190" s="6">
        <v>3.1919</v>
      </c>
      <c r="E190" s="6">
        <v>2.7865000000000002</v>
      </c>
      <c r="F190" s="2"/>
    </row>
    <row r="191" spans="1:6" x14ac:dyDescent="0.2">
      <c r="A191" s="2"/>
      <c r="B191" s="4">
        <v>40894</v>
      </c>
      <c r="C191" s="58">
        <v>602.89</v>
      </c>
      <c r="D191" s="6">
        <v>3.2019000000000002</v>
      </c>
      <c r="E191" s="6">
        <v>2.7835000000000001</v>
      </c>
      <c r="F191" s="2"/>
    </row>
    <row r="192" spans="1:6" x14ac:dyDescent="0.2">
      <c r="A192" s="2"/>
      <c r="B192" s="4">
        <v>40878</v>
      </c>
      <c r="C192" s="58">
        <v>598.27</v>
      </c>
      <c r="D192" s="6">
        <v>3.3014999999999999</v>
      </c>
      <c r="E192" s="6">
        <v>2.7726000000000002</v>
      </c>
      <c r="F192" s="2"/>
    </row>
    <row r="193" spans="1:6" x14ac:dyDescent="0.2">
      <c r="A193" s="2"/>
      <c r="B193" s="4">
        <v>40864</v>
      </c>
      <c r="C193" s="58">
        <v>590.54999999999995</v>
      </c>
      <c r="D193" s="6">
        <v>3.4138999999999999</v>
      </c>
      <c r="E193" s="6">
        <v>2.8892000000000002</v>
      </c>
      <c r="F193" s="2"/>
    </row>
    <row r="194" spans="1:6" x14ac:dyDescent="0.2">
      <c r="A194" s="2"/>
      <c r="B194" s="4">
        <v>40848</v>
      </c>
      <c r="C194" s="58">
        <v>591.91</v>
      </c>
      <c r="D194" s="6">
        <v>3.3386999999999998</v>
      </c>
      <c r="E194" s="6">
        <v>2.9424999999999999</v>
      </c>
      <c r="F194" s="2"/>
    </row>
    <row r="195" spans="1:6" x14ac:dyDescent="0.2">
      <c r="A195" s="2"/>
      <c r="B195" s="4">
        <v>40833</v>
      </c>
      <c r="C195" s="58">
        <v>592.33000000000004</v>
      </c>
      <c r="D195" s="6">
        <v>3.1783000000000001</v>
      </c>
      <c r="E195" s="6">
        <v>2.9272</v>
      </c>
      <c r="F195" s="2"/>
    </row>
    <row r="196" spans="1:6" x14ac:dyDescent="0.2">
      <c r="A196" s="2"/>
      <c r="B196" s="4">
        <v>40817</v>
      </c>
      <c r="C196" s="58">
        <v>591.91</v>
      </c>
      <c r="D196" s="6">
        <v>3.2019000000000002</v>
      </c>
      <c r="E196" s="6">
        <v>2.8460999999999999</v>
      </c>
      <c r="F196" s="2"/>
    </row>
    <row r="197" spans="1:6" x14ac:dyDescent="0.2">
      <c r="A197" s="2"/>
      <c r="B197" s="4">
        <v>40803</v>
      </c>
      <c r="C197" s="58">
        <v>593.27</v>
      </c>
      <c r="D197" s="6">
        <v>3.3083999999999998</v>
      </c>
      <c r="E197" s="6">
        <v>3.0669</v>
      </c>
      <c r="F197" s="2"/>
    </row>
    <row r="198" spans="1:6" x14ac:dyDescent="0.2">
      <c r="A198" s="2"/>
      <c r="B198" s="4">
        <v>40787</v>
      </c>
      <c r="C198" s="58">
        <v>593.27</v>
      </c>
      <c r="D198" s="6">
        <v>3.3022999999999998</v>
      </c>
      <c r="E198" s="6">
        <v>3.0861000000000001</v>
      </c>
      <c r="F198" s="2"/>
    </row>
    <row r="199" spans="1:6" x14ac:dyDescent="0.2">
      <c r="A199" s="2"/>
      <c r="B199" s="4">
        <v>40772</v>
      </c>
      <c r="C199" s="58">
        <v>601.45000000000005</v>
      </c>
      <c r="D199" s="6">
        <v>3.2622</v>
      </c>
      <c r="E199" s="6">
        <v>3.0280999999999998</v>
      </c>
      <c r="F199" s="2"/>
    </row>
    <row r="200" spans="1:6" x14ac:dyDescent="0.2">
      <c r="A200" s="2"/>
      <c r="B200" s="4">
        <v>40756</v>
      </c>
      <c r="C200" s="58">
        <v>603.64</v>
      </c>
      <c r="D200" s="6">
        <v>3.4485000000000001</v>
      </c>
      <c r="E200" s="6">
        <v>3.2288999999999999</v>
      </c>
      <c r="F200" s="2"/>
    </row>
    <row r="201" spans="1:6" x14ac:dyDescent="0.2">
      <c r="A201" s="2"/>
      <c r="B201" s="4">
        <v>40741</v>
      </c>
      <c r="C201" s="58">
        <v>609.27</v>
      </c>
      <c r="D201" s="6">
        <v>3.3776000000000002</v>
      </c>
      <c r="E201" s="6">
        <v>3.2067999999999999</v>
      </c>
      <c r="F201" s="2"/>
    </row>
    <row r="202" spans="1:6" x14ac:dyDescent="0.2">
      <c r="A202" s="2"/>
      <c r="B202" s="4">
        <v>40725</v>
      </c>
      <c r="C202" s="58">
        <v>615.16999999999996</v>
      </c>
      <c r="D202" s="6">
        <v>3.23</v>
      </c>
      <c r="E202" s="6">
        <v>3.0510000000000002</v>
      </c>
      <c r="F202" s="2"/>
    </row>
    <row r="203" spans="1:6" x14ac:dyDescent="0.2">
      <c r="A203" s="2"/>
      <c r="B203" s="4">
        <v>40711</v>
      </c>
      <c r="C203" s="58">
        <v>617.66999999999996</v>
      </c>
      <c r="D203" s="6">
        <v>3.3974000000000002</v>
      </c>
      <c r="E203" s="6">
        <v>3.1456</v>
      </c>
      <c r="F203" s="2"/>
    </row>
    <row r="204" spans="1:6" x14ac:dyDescent="0.2">
      <c r="A204" s="2"/>
      <c r="B204" s="4">
        <v>40695</v>
      </c>
      <c r="C204" s="58">
        <v>616.54999999999995</v>
      </c>
      <c r="D204" s="6">
        <v>3.2765</v>
      </c>
      <c r="E204" s="6">
        <v>3.1533000000000002</v>
      </c>
      <c r="F204" s="2"/>
    </row>
    <row r="205" spans="1:6" x14ac:dyDescent="0.2">
      <c r="A205" s="2"/>
      <c r="B205" s="4">
        <v>40680</v>
      </c>
      <c r="C205" s="58">
        <v>613.89</v>
      </c>
      <c r="D205" s="6">
        <v>3.3736000000000002</v>
      </c>
      <c r="E205" s="6">
        <v>3.4580000000000002</v>
      </c>
      <c r="F205" s="2"/>
    </row>
    <row r="206" spans="1:6" x14ac:dyDescent="0.2">
      <c r="A206" s="2"/>
      <c r="B206" s="4">
        <v>40664</v>
      </c>
      <c r="C206" s="58">
        <v>618.89</v>
      </c>
      <c r="D206" s="6">
        <v>3.5339</v>
      </c>
      <c r="E206" s="6">
        <v>3.4643000000000002</v>
      </c>
      <c r="F206" s="2"/>
    </row>
    <row r="207" spans="1:6" x14ac:dyDescent="0.2">
      <c r="A207" s="2"/>
      <c r="B207" s="4">
        <v>40650</v>
      </c>
      <c r="C207" s="58">
        <v>536.44000000000005</v>
      </c>
      <c r="D207" s="6">
        <v>3.5224000000000002</v>
      </c>
      <c r="E207" s="6">
        <v>3.3698000000000001</v>
      </c>
      <c r="F207" s="2"/>
    </row>
    <row r="208" spans="1:6" x14ac:dyDescent="0.2">
      <c r="A208" s="2"/>
      <c r="B208" s="4">
        <v>40634</v>
      </c>
      <c r="C208" s="58">
        <v>534.11</v>
      </c>
      <c r="D208" s="6">
        <v>3.3929999999999998</v>
      </c>
      <c r="E208" s="6">
        <v>3.2004000000000001</v>
      </c>
      <c r="F208" s="2"/>
    </row>
    <row r="209" spans="1:6" x14ac:dyDescent="0.2">
      <c r="A209" s="2"/>
      <c r="B209" s="4">
        <v>40619</v>
      </c>
      <c r="C209" s="58">
        <v>521.89</v>
      </c>
      <c r="D209" s="6">
        <v>3.3734999999999999</v>
      </c>
      <c r="E209" s="6">
        <v>3.16</v>
      </c>
      <c r="F209" s="2"/>
    </row>
    <row r="210" spans="1:6" x14ac:dyDescent="0.2">
      <c r="A210" s="2"/>
      <c r="B210" s="4">
        <v>40603</v>
      </c>
      <c r="C210" s="58">
        <v>513</v>
      </c>
      <c r="D210" s="6">
        <v>3.1640000000000001</v>
      </c>
      <c r="E210" s="6">
        <v>2.9397000000000002</v>
      </c>
      <c r="F210" s="2"/>
    </row>
    <row r="211" spans="1:6" x14ac:dyDescent="0.2">
      <c r="A211" s="2"/>
      <c r="B211" s="4">
        <v>40591</v>
      </c>
      <c r="C211" s="58">
        <v>497.56</v>
      </c>
      <c r="D211" s="6">
        <v>3.0533999999999999</v>
      </c>
      <c r="E211" s="6">
        <v>2.7545000000000002</v>
      </c>
      <c r="F211" s="2"/>
    </row>
    <row r="212" spans="1:6" x14ac:dyDescent="0.2">
      <c r="A212" s="2"/>
      <c r="B212" s="4">
        <v>40575</v>
      </c>
      <c r="C212" s="58">
        <v>500.78</v>
      </c>
      <c r="D212" s="6">
        <v>2.9525999999999999</v>
      </c>
      <c r="E212" s="6">
        <v>2.7118000000000002</v>
      </c>
      <c r="F212" s="2"/>
    </row>
    <row r="213" spans="1:6" x14ac:dyDescent="0.2">
      <c r="A213" s="2"/>
      <c r="B213" s="4">
        <v>40560</v>
      </c>
      <c r="C213" s="58">
        <v>479.2</v>
      </c>
      <c r="D213" s="6">
        <v>2.8561000000000001</v>
      </c>
      <c r="E213" s="6">
        <v>2.7191999999999998</v>
      </c>
      <c r="F213" s="2"/>
    </row>
    <row r="214" spans="1:6" x14ac:dyDescent="0.2">
      <c r="A214" s="2"/>
      <c r="B214" s="4">
        <v>40544</v>
      </c>
      <c r="C214" s="58">
        <v>471.7</v>
      </c>
      <c r="D214" s="6">
        <v>2.8054000000000001</v>
      </c>
      <c r="E214" s="6">
        <v>2.6928000000000001</v>
      </c>
      <c r="F214" s="2"/>
    </row>
    <row r="215" spans="1:6" x14ac:dyDescent="0.2">
      <c r="A215" s="2"/>
      <c r="B215" s="4">
        <v>40529</v>
      </c>
      <c r="C215" s="58">
        <v>470.2</v>
      </c>
      <c r="D215" s="6">
        <v>2.7351000000000001</v>
      </c>
      <c r="E215" s="6">
        <v>2.6073</v>
      </c>
      <c r="F215" s="2"/>
    </row>
    <row r="216" spans="1:6" x14ac:dyDescent="0.2">
      <c r="A216" s="2"/>
      <c r="B216" s="4">
        <v>40513</v>
      </c>
      <c r="C216" s="58">
        <v>470.2</v>
      </c>
      <c r="D216" s="6">
        <v>2.6012</v>
      </c>
      <c r="E216" s="6">
        <v>2.4567000000000001</v>
      </c>
      <c r="F216" s="2"/>
    </row>
    <row r="217" spans="1:6" x14ac:dyDescent="0.2">
      <c r="A217" s="2"/>
      <c r="B217" s="4">
        <v>40499</v>
      </c>
      <c r="C217" s="58">
        <v>468.1</v>
      </c>
      <c r="D217" s="6">
        <v>2.6412</v>
      </c>
      <c r="E217" s="6">
        <v>2.4668000000000001</v>
      </c>
      <c r="F217" s="2"/>
    </row>
    <row r="218" spans="1:6" x14ac:dyDescent="0.2">
      <c r="A218" s="2"/>
      <c r="B218" s="4">
        <v>40483</v>
      </c>
      <c r="C218" s="58">
        <v>465.6</v>
      </c>
      <c r="D218" s="6">
        <v>2.5306999999999999</v>
      </c>
      <c r="E218" s="6">
        <v>2.3915999999999999</v>
      </c>
      <c r="F218" s="2"/>
    </row>
    <row r="219" spans="1:6" x14ac:dyDescent="0.2">
      <c r="A219" s="2"/>
      <c r="B219" s="4">
        <v>40468</v>
      </c>
      <c r="C219" s="58">
        <v>465.6</v>
      </c>
      <c r="D219" s="6">
        <v>2.5697000000000001</v>
      </c>
      <c r="E219" s="6">
        <v>2.4190999999999998</v>
      </c>
      <c r="F219" s="2"/>
    </row>
    <row r="220" spans="1:6" x14ac:dyDescent="0.2">
      <c r="A220" s="2"/>
      <c r="B220" s="4">
        <v>40452</v>
      </c>
      <c r="C220" s="58">
        <v>465.6</v>
      </c>
      <c r="D220" s="6">
        <v>2.4457</v>
      </c>
      <c r="E220" s="6">
        <v>2.2578999999999998</v>
      </c>
      <c r="F220" s="2"/>
    </row>
    <row r="221" spans="1:6" x14ac:dyDescent="0.2">
      <c r="A221" s="2"/>
      <c r="B221" s="4">
        <v>40438</v>
      </c>
      <c r="C221" s="58">
        <v>469.1</v>
      </c>
      <c r="D221" s="6">
        <v>2.4001000000000001</v>
      </c>
      <c r="E221" s="6">
        <v>2.2625000000000002</v>
      </c>
      <c r="F221" s="2"/>
    </row>
    <row r="222" spans="1:6" x14ac:dyDescent="0.2">
      <c r="A222" s="2"/>
      <c r="B222" s="4">
        <v>40422</v>
      </c>
      <c r="C222" s="58">
        <v>469.1</v>
      </c>
      <c r="D222" s="6">
        <v>2.3443999999999998</v>
      </c>
      <c r="E222" s="6">
        <v>2.1680000000000001</v>
      </c>
      <c r="F222" s="2"/>
    </row>
    <row r="223" spans="1:6" x14ac:dyDescent="0.2">
      <c r="A223" s="2"/>
      <c r="B223" s="4">
        <v>40407</v>
      </c>
      <c r="C223" s="58">
        <v>470.6</v>
      </c>
      <c r="D223" s="6">
        <v>2.4399000000000002</v>
      </c>
      <c r="E223" s="6">
        <v>2.2927</v>
      </c>
      <c r="F223" s="2"/>
    </row>
    <row r="224" spans="1:6" x14ac:dyDescent="0.2">
      <c r="A224" s="2"/>
      <c r="B224" s="4">
        <v>40391</v>
      </c>
      <c r="C224" s="58">
        <v>461.43</v>
      </c>
      <c r="D224" s="6">
        <v>2.351</v>
      </c>
      <c r="E224" s="6">
        <v>2.2726000000000002</v>
      </c>
      <c r="F224" s="2"/>
    </row>
    <row r="225" spans="1:6" x14ac:dyDescent="0.2">
      <c r="A225" s="2"/>
      <c r="B225" s="4">
        <v>40376</v>
      </c>
      <c r="C225" s="58">
        <v>486.6</v>
      </c>
      <c r="D225" s="6">
        <v>2.3075999999999999</v>
      </c>
      <c r="E225" s="6">
        <v>2.2210999999999999</v>
      </c>
      <c r="F225" s="2"/>
    </row>
    <row r="226" spans="1:6" x14ac:dyDescent="0.2">
      <c r="A226" s="2"/>
      <c r="B226" s="4">
        <v>40360</v>
      </c>
      <c r="C226" s="58">
        <v>488.1</v>
      </c>
      <c r="D226" s="6">
        <v>2.4131999999999998</v>
      </c>
      <c r="E226" s="6">
        <v>2.2919999999999998</v>
      </c>
      <c r="F226" s="2"/>
    </row>
    <row r="227" spans="1:6" x14ac:dyDescent="0.2">
      <c r="A227" s="2"/>
      <c r="B227" s="4">
        <v>40346</v>
      </c>
      <c r="C227" s="58">
        <v>499.2</v>
      </c>
      <c r="D227" s="6">
        <v>2.3176999999999999</v>
      </c>
      <c r="E227" s="6">
        <v>2.1974</v>
      </c>
      <c r="F227" s="2"/>
    </row>
    <row r="228" spans="1:6" x14ac:dyDescent="0.2">
      <c r="A228" s="2"/>
      <c r="B228" s="4">
        <v>40330</v>
      </c>
      <c r="C228" s="58">
        <v>499.2</v>
      </c>
      <c r="D228" s="6">
        <v>2.2924000000000002</v>
      </c>
      <c r="E228" s="6">
        <v>2.1919</v>
      </c>
      <c r="F228" s="2"/>
    </row>
    <row r="229" spans="1:6" x14ac:dyDescent="0.2">
      <c r="A229" s="2"/>
      <c r="B229" s="4">
        <v>40315</v>
      </c>
      <c r="C229" s="58">
        <v>521.9</v>
      </c>
      <c r="D229" s="6">
        <v>2.5335999999999999</v>
      </c>
      <c r="E229" s="6">
        <v>2.4178999999999999</v>
      </c>
      <c r="F229" s="2"/>
    </row>
    <row r="230" spans="1:6" x14ac:dyDescent="0.2">
      <c r="A230" s="2"/>
      <c r="B230" s="4">
        <v>40299</v>
      </c>
      <c r="C230" s="58">
        <v>521.9</v>
      </c>
      <c r="D230" s="6">
        <v>2.5577000000000001</v>
      </c>
      <c r="E230" s="6">
        <v>2.4626000000000001</v>
      </c>
      <c r="F230" s="2"/>
    </row>
    <row r="231" spans="1:6" x14ac:dyDescent="0.2">
      <c r="A231" s="2"/>
      <c r="B231" s="4">
        <v>40285</v>
      </c>
      <c r="C231" s="58">
        <v>521.9</v>
      </c>
      <c r="D231" s="6">
        <v>2.5470999999999999</v>
      </c>
      <c r="E231" s="6">
        <v>2.4529999999999998</v>
      </c>
      <c r="F231" s="2"/>
    </row>
    <row r="232" spans="1:6" x14ac:dyDescent="0.2">
      <c r="A232" s="2"/>
      <c r="B232" s="4">
        <v>40269</v>
      </c>
      <c r="C232" s="58">
        <v>520.9</v>
      </c>
      <c r="D232" s="6">
        <v>2.4319000000000002</v>
      </c>
      <c r="E232" s="6">
        <v>2.4020000000000001</v>
      </c>
      <c r="F232" s="2"/>
    </row>
    <row r="233" spans="1:6" x14ac:dyDescent="0.2">
      <c r="A233" s="2"/>
      <c r="B233" s="4">
        <v>40254</v>
      </c>
      <c r="C233" s="58">
        <v>503.9</v>
      </c>
      <c r="D233" s="6">
        <v>2.4045000000000001</v>
      </c>
      <c r="E233" s="6">
        <v>2.3936000000000002</v>
      </c>
      <c r="F233" s="2"/>
    </row>
    <row r="234" spans="1:6" x14ac:dyDescent="0.2">
      <c r="A234" s="2"/>
      <c r="B234" s="4">
        <v>40238</v>
      </c>
      <c r="C234" s="58">
        <v>496.7</v>
      </c>
      <c r="D234" s="6">
        <v>2.3519000000000001</v>
      </c>
      <c r="E234" s="6">
        <v>2.3157999999999999</v>
      </c>
      <c r="F234" s="2"/>
    </row>
    <row r="235" spans="1:6" x14ac:dyDescent="0.2">
      <c r="A235" s="2"/>
      <c r="B235" s="4">
        <v>40226</v>
      </c>
      <c r="C235" s="58">
        <v>466</v>
      </c>
      <c r="D235" s="6">
        <v>2.234</v>
      </c>
      <c r="E235" s="6">
        <v>2.1766999999999999</v>
      </c>
      <c r="F235" s="2"/>
    </row>
    <row r="236" spans="1:6" x14ac:dyDescent="0.2">
      <c r="A236" s="2"/>
      <c r="B236" s="4">
        <v>40210</v>
      </c>
      <c r="C236" s="58">
        <v>465</v>
      </c>
      <c r="D236" s="6">
        <v>2.2643</v>
      </c>
      <c r="E236" s="6">
        <v>2.2524000000000002</v>
      </c>
      <c r="F236" s="2"/>
    </row>
    <row r="237" spans="1:6" x14ac:dyDescent="0.2">
      <c r="A237" s="2"/>
      <c r="B237" s="4">
        <v>40195</v>
      </c>
      <c r="C237" s="58">
        <v>427.14</v>
      </c>
      <c r="D237" s="6">
        <v>2.4306999999999999</v>
      </c>
      <c r="E237" s="6">
        <v>2.3635000000000002</v>
      </c>
      <c r="F237" s="2"/>
    </row>
    <row r="238" spans="1:6" x14ac:dyDescent="0.2">
      <c r="A238" s="2"/>
      <c r="B238" s="4">
        <v>40179</v>
      </c>
      <c r="C238" s="58">
        <v>425.71</v>
      </c>
      <c r="D238" s="6">
        <v>2.2732000000000001</v>
      </c>
      <c r="E238" s="6">
        <v>2.2153999999999998</v>
      </c>
      <c r="F238" s="2"/>
    </row>
    <row r="239" spans="1:6" x14ac:dyDescent="0.2">
      <c r="A239" s="2"/>
      <c r="B239" s="4">
        <v>40164</v>
      </c>
      <c r="C239" s="58">
        <v>418</v>
      </c>
      <c r="D239" s="6">
        <v>2.2402000000000002</v>
      </c>
      <c r="E239" s="6">
        <v>2.1920000000000002</v>
      </c>
      <c r="F239" s="2"/>
    </row>
    <row r="240" spans="1:6" x14ac:dyDescent="0.2">
      <c r="A240" s="2"/>
      <c r="B240" s="4">
        <v>40148</v>
      </c>
      <c r="C240" s="58">
        <v>413.75</v>
      </c>
      <c r="D240" s="6">
        <v>2.2711999999999999</v>
      </c>
      <c r="E240" s="6">
        <v>2.2433000000000001</v>
      </c>
      <c r="F240" s="2"/>
    </row>
    <row r="241" spans="1:6" x14ac:dyDescent="0.2">
      <c r="A241" s="2"/>
      <c r="B241" s="4">
        <v>40134</v>
      </c>
      <c r="C241" s="58">
        <v>407.5</v>
      </c>
      <c r="D241" s="6">
        <v>2.2919999999999998</v>
      </c>
      <c r="E241" s="6">
        <v>2.2307000000000001</v>
      </c>
      <c r="F241" s="2"/>
    </row>
    <row r="242" spans="1:6" x14ac:dyDescent="0.2">
      <c r="A242" s="2"/>
      <c r="B242" s="4">
        <v>40118</v>
      </c>
      <c r="C242" s="58">
        <v>405</v>
      </c>
      <c r="D242" s="6">
        <v>2.3351000000000002</v>
      </c>
      <c r="E242" s="6">
        <v>2.2707000000000002</v>
      </c>
      <c r="F242" s="2"/>
    </row>
    <row r="243" spans="1:6" x14ac:dyDescent="0.2">
      <c r="A243" s="2"/>
      <c r="B243" s="4">
        <v>40103</v>
      </c>
      <c r="C243" s="58">
        <v>403.75</v>
      </c>
      <c r="D243" s="6">
        <v>2.1469</v>
      </c>
      <c r="E243" s="6">
        <v>2.0316999999999998</v>
      </c>
      <c r="F243" s="2"/>
    </row>
    <row r="244" spans="1:6" x14ac:dyDescent="0.2">
      <c r="A244" s="2"/>
      <c r="B244" s="4">
        <v>40087</v>
      </c>
      <c r="C244" s="58">
        <v>403.75</v>
      </c>
      <c r="D244" s="6">
        <v>2.0648</v>
      </c>
      <c r="E244" s="6">
        <v>1.9938</v>
      </c>
      <c r="F244" s="2"/>
    </row>
    <row r="245" spans="1:6" x14ac:dyDescent="0.2">
      <c r="A245" s="2"/>
      <c r="B245" s="4">
        <v>40073</v>
      </c>
      <c r="C245" s="58">
        <v>405</v>
      </c>
      <c r="D245" s="6">
        <v>2.0560999999999998</v>
      </c>
      <c r="E245" s="6">
        <v>2.0354999999999999</v>
      </c>
      <c r="F245" s="2"/>
    </row>
    <row r="246" spans="1:6" x14ac:dyDescent="0.2">
      <c r="A246" s="2"/>
      <c r="B246" s="4">
        <v>40057</v>
      </c>
      <c r="C246" s="58">
        <v>405</v>
      </c>
      <c r="D246" s="6">
        <v>2.1817000000000002</v>
      </c>
      <c r="E246" s="6">
        <v>2.1141000000000001</v>
      </c>
      <c r="F246" s="2"/>
    </row>
    <row r="247" spans="1:6" x14ac:dyDescent="0.2">
      <c r="A247" s="2"/>
      <c r="B247" s="4">
        <v>40042</v>
      </c>
      <c r="C247" s="58">
        <v>406.25</v>
      </c>
      <c r="D247" s="6">
        <v>2.1983999999999999</v>
      </c>
      <c r="E247" s="6">
        <v>2.1806000000000001</v>
      </c>
      <c r="F247" s="2"/>
    </row>
    <row r="248" spans="1:6" x14ac:dyDescent="0.2">
      <c r="A248" s="2"/>
      <c r="B248" s="4">
        <v>40026</v>
      </c>
      <c r="C248" s="58">
        <v>405</v>
      </c>
      <c r="D248" s="6">
        <v>2.0577000000000001</v>
      </c>
      <c r="E248" s="6">
        <v>2.0152999999999999</v>
      </c>
      <c r="F248" s="2"/>
    </row>
    <row r="249" spans="1:6" x14ac:dyDescent="0.2">
      <c r="A249" s="2"/>
      <c r="B249" s="4">
        <v>40011</v>
      </c>
      <c r="C249" s="58">
        <v>383.75</v>
      </c>
      <c r="D249" s="6">
        <v>1.9189000000000001</v>
      </c>
      <c r="E249" s="6">
        <v>1.9178999999999999</v>
      </c>
      <c r="F249" s="2"/>
    </row>
    <row r="250" spans="1:6" x14ac:dyDescent="0.2">
      <c r="A250" s="2"/>
      <c r="B250" s="4">
        <v>39995</v>
      </c>
      <c r="C250" s="58">
        <v>385.63</v>
      </c>
      <c r="D250" s="6">
        <v>2.0943999999999998</v>
      </c>
      <c r="E250" s="6">
        <v>2.1309999999999998</v>
      </c>
      <c r="F250" s="2"/>
    </row>
    <row r="251" spans="1:6" x14ac:dyDescent="0.2">
      <c r="A251" s="2"/>
      <c r="B251" s="4">
        <v>39981</v>
      </c>
      <c r="C251" s="58">
        <v>363.13</v>
      </c>
      <c r="D251" s="6">
        <v>2.0720999999999998</v>
      </c>
      <c r="E251" s="6">
        <v>2.2023000000000001</v>
      </c>
      <c r="F251" s="2"/>
    </row>
    <row r="252" spans="1:6" x14ac:dyDescent="0.2">
      <c r="A252" s="2"/>
      <c r="B252" s="4">
        <v>39965</v>
      </c>
      <c r="C252" s="58">
        <v>361.88</v>
      </c>
      <c r="D252" s="6">
        <v>1.8095000000000001</v>
      </c>
      <c r="E252" s="6">
        <v>2.0209999999999999</v>
      </c>
      <c r="F252" s="2"/>
    </row>
    <row r="253" spans="1:6" x14ac:dyDescent="0.2">
      <c r="A253" s="2"/>
      <c r="B253" s="4">
        <v>39950</v>
      </c>
      <c r="C253" s="58">
        <v>351.88</v>
      </c>
      <c r="D253" s="6">
        <v>1.7496</v>
      </c>
      <c r="E253" s="6">
        <v>1.8327</v>
      </c>
      <c r="F253" s="2"/>
    </row>
    <row r="254" spans="1:6" x14ac:dyDescent="0.2">
      <c r="A254" s="2"/>
      <c r="B254" s="4">
        <v>39934</v>
      </c>
      <c r="C254" s="58">
        <v>348.75</v>
      </c>
      <c r="D254" s="6">
        <v>1.6816</v>
      </c>
      <c r="E254" s="6">
        <v>1.621</v>
      </c>
      <c r="F254" s="2"/>
    </row>
    <row r="255" spans="1:6" x14ac:dyDescent="0.2">
      <c r="A255" s="2"/>
      <c r="B255" s="4">
        <v>39920</v>
      </c>
      <c r="C255" s="58">
        <v>353.13</v>
      </c>
      <c r="D255" s="6">
        <v>1.726</v>
      </c>
      <c r="E255" s="6">
        <v>1.6311</v>
      </c>
      <c r="F255" s="2"/>
    </row>
    <row r="256" spans="1:6" x14ac:dyDescent="0.2">
      <c r="A256" s="2"/>
      <c r="B256" s="4">
        <v>39904</v>
      </c>
      <c r="C256" s="58">
        <v>362.78</v>
      </c>
      <c r="D256" s="6">
        <v>1.675</v>
      </c>
      <c r="E256" s="6">
        <v>1.6132</v>
      </c>
      <c r="F256" s="2"/>
    </row>
    <row r="257" spans="1:6" x14ac:dyDescent="0.2">
      <c r="A257" s="2"/>
      <c r="B257" s="4">
        <v>39889</v>
      </c>
      <c r="C257" s="58">
        <v>363.33</v>
      </c>
      <c r="D257" s="6">
        <v>1.4916</v>
      </c>
      <c r="E257" s="6">
        <v>1.5394000000000001</v>
      </c>
      <c r="F257" s="2"/>
    </row>
    <row r="258" spans="1:6" x14ac:dyDescent="0.2">
      <c r="A258" s="2"/>
      <c r="B258" s="4">
        <v>39873</v>
      </c>
      <c r="C258" s="58">
        <v>368.89</v>
      </c>
      <c r="D258" s="6">
        <v>1.5279</v>
      </c>
      <c r="E258" s="6">
        <v>1.4444999999999999</v>
      </c>
      <c r="F258" s="2"/>
    </row>
    <row r="259" spans="1:6" x14ac:dyDescent="0.2">
      <c r="A259" s="2"/>
      <c r="B259" s="4">
        <v>39861</v>
      </c>
      <c r="C259" s="58">
        <v>390.56</v>
      </c>
      <c r="D259" s="6">
        <v>1.6378999999999999</v>
      </c>
      <c r="E259" s="6">
        <v>1.5491999999999999</v>
      </c>
      <c r="F259" s="2"/>
    </row>
    <row r="260" spans="1:6" x14ac:dyDescent="0.2">
      <c r="A260" s="2"/>
      <c r="B260" s="4">
        <v>39845</v>
      </c>
      <c r="C260" s="58">
        <v>409.38</v>
      </c>
      <c r="D260" s="6">
        <v>1.6738999999999999</v>
      </c>
      <c r="E260" s="6">
        <v>1.4520999999999999</v>
      </c>
      <c r="F260" s="2"/>
    </row>
    <row r="261" spans="1:6" x14ac:dyDescent="0.2">
      <c r="A261" s="2"/>
      <c r="B261" s="4">
        <v>39830</v>
      </c>
      <c r="C261" s="58">
        <v>401.67</v>
      </c>
      <c r="D261" s="6">
        <v>1.7771999999999999</v>
      </c>
      <c r="E261" s="6">
        <v>1.3997999999999999</v>
      </c>
      <c r="F261" s="2"/>
    </row>
    <row r="262" spans="1:6" x14ac:dyDescent="0.2">
      <c r="A262" s="2"/>
      <c r="B262" s="4">
        <v>39814</v>
      </c>
      <c r="C262" s="58">
        <v>421.11</v>
      </c>
      <c r="D262" s="6">
        <v>1.6339999999999999</v>
      </c>
      <c r="E262" s="6">
        <v>1.2083999999999999</v>
      </c>
      <c r="F262" s="2"/>
    </row>
    <row r="263" spans="1:6" x14ac:dyDescent="0.2">
      <c r="A263" s="2"/>
      <c r="B263" s="4">
        <v>39799</v>
      </c>
      <c r="C263" s="58">
        <v>446.11</v>
      </c>
      <c r="D263" s="6">
        <v>1.78</v>
      </c>
      <c r="E263" s="6">
        <v>1.2841</v>
      </c>
      <c r="F263" s="2"/>
    </row>
    <row r="264" spans="1:6" x14ac:dyDescent="0.2">
      <c r="A264" s="2"/>
      <c r="B264" s="4">
        <v>39783</v>
      </c>
      <c r="C264" s="58">
        <v>504.44</v>
      </c>
      <c r="D264" s="6">
        <v>2.0729000000000002</v>
      </c>
      <c r="E264" s="6">
        <v>1.4547000000000001</v>
      </c>
      <c r="F264" s="2"/>
    </row>
    <row r="265" spans="1:6" x14ac:dyDescent="0.2">
      <c r="A265" s="2"/>
      <c r="B265" s="4">
        <v>39769</v>
      </c>
      <c r="C265" s="58">
        <v>538.89</v>
      </c>
      <c r="D265" s="6">
        <v>2.3774999999999999</v>
      </c>
      <c r="E265" s="6">
        <v>1.742</v>
      </c>
      <c r="F265" s="2"/>
    </row>
    <row r="266" spans="1:6" x14ac:dyDescent="0.2">
      <c r="A266" s="2"/>
      <c r="B266" s="4">
        <v>39753</v>
      </c>
      <c r="C266" s="58">
        <v>603.33000000000004</v>
      </c>
      <c r="D266" s="6">
        <v>2.4897</v>
      </c>
      <c r="E266" s="6">
        <v>1.9959</v>
      </c>
      <c r="F266" s="2"/>
    </row>
    <row r="267" spans="1:6" x14ac:dyDescent="0.2">
      <c r="A267" s="2"/>
      <c r="B267" s="4">
        <v>39738</v>
      </c>
      <c r="C267" s="58">
        <v>650</v>
      </c>
      <c r="D267" s="6">
        <v>3.0036999999999998</v>
      </c>
      <c r="E267" s="6">
        <v>2.5455999999999999</v>
      </c>
      <c r="F267" s="2"/>
    </row>
    <row r="268" spans="1:6" x14ac:dyDescent="0.2">
      <c r="A268" s="2"/>
      <c r="B268" s="4">
        <v>39722</v>
      </c>
      <c r="C268" s="58">
        <v>681.36</v>
      </c>
      <c r="D268" s="6">
        <v>3.4051</v>
      </c>
      <c r="E268" s="6">
        <v>3.1467000000000001</v>
      </c>
      <c r="F268" s="2"/>
    </row>
    <row r="269" spans="1:6" x14ac:dyDescent="0.2">
      <c r="A269" s="2"/>
      <c r="B269" s="4">
        <v>39708</v>
      </c>
      <c r="C269" s="58">
        <v>726.11</v>
      </c>
      <c r="D269" s="6">
        <v>3.4674999999999998</v>
      </c>
      <c r="E269" s="6">
        <v>3.4228000000000001</v>
      </c>
      <c r="F269" s="2"/>
    </row>
    <row r="270" spans="1:6" x14ac:dyDescent="0.2">
      <c r="A270" s="2"/>
      <c r="B270" s="4">
        <v>39692</v>
      </c>
      <c r="C270" s="58">
        <v>747.86</v>
      </c>
      <c r="D270" s="6">
        <v>3.5177</v>
      </c>
      <c r="E270" s="6">
        <v>3.1435</v>
      </c>
      <c r="F270" s="2"/>
    </row>
    <row r="271" spans="1:6" x14ac:dyDescent="0.2">
      <c r="A271" s="2"/>
      <c r="B271" s="4">
        <v>39677</v>
      </c>
      <c r="C271" s="58">
        <v>802.22</v>
      </c>
      <c r="D271" s="6">
        <v>3.5657999999999999</v>
      </c>
      <c r="E271" s="6">
        <v>3.2481</v>
      </c>
      <c r="F271" s="2"/>
    </row>
    <row r="272" spans="1:6" x14ac:dyDescent="0.2">
      <c r="A272" s="2"/>
      <c r="B272" s="4">
        <v>39661</v>
      </c>
      <c r="C272" s="58">
        <v>807.78</v>
      </c>
      <c r="D272" s="6">
        <v>3.9668000000000001</v>
      </c>
      <c r="E272" s="6">
        <v>3.3252999999999999</v>
      </c>
      <c r="F272" s="2"/>
    </row>
    <row r="273" spans="1:6" x14ac:dyDescent="0.2">
      <c r="A273" s="2"/>
      <c r="B273" s="4">
        <v>39646</v>
      </c>
      <c r="C273" s="58">
        <v>693.89</v>
      </c>
      <c r="D273" s="6">
        <v>4.3249000000000004</v>
      </c>
      <c r="E273" s="6">
        <v>3.6486999999999998</v>
      </c>
      <c r="F273" s="2"/>
    </row>
    <row r="274" spans="1:6" x14ac:dyDescent="0.2">
      <c r="A274" s="2"/>
      <c r="B274" s="4">
        <v>39630</v>
      </c>
      <c r="C274" s="58">
        <v>621.11</v>
      </c>
      <c r="D274" s="6">
        <v>4.1470000000000002</v>
      </c>
      <c r="E274" s="6">
        <v>3.613</v>
      </c>
      <c r="F274" s="2"/>
    </row>
    <row r="275" spans="1:6" x14ac:dyDescent="0.2">
      <c r="A275" s="2"/>
      <c r="B275" s="4">
        <v>39616</v>
      </c>
      <c r="C275" s="58">
        <v>506.67</v>
      </c>
      <c r="D275" s="6">
        <v>4.1402000000000001</v>
      </c>
      <c r="E275" s="6">
        <v>3.5548999999999999</v>
      </c>
      <c r="F275" s="2"/>
    </row>
    <row r="276" spans="1:6" x14ac:dyDescent="0.2">
      <c r="A276" s="2"/>
      <c r="B276" s="4">
        <v>39600</v>
      </c>
      <c r="C276" s="58">
        <v>502.78</v>
      </c>
      <c r="D276" s="6">
        <v>4.2187000000000001</v>
      </c>
      <c r="E276" s="6">
        <v>3.5066999999999999</v>
      </c>
      <c r="F276" s="2"/>
    </row>
    <row r="277" spans="1:6" x14ac:dyDescent="0.2">
      <c r="A277" s="2"/>
      <c r="B277" s="4">
        <v>39585</v>
      </c>
      <c r="C277" s="58">
        <v>434.44</v>
      </c>
      <c r="D277" s="6">
        <v>3.8635999999999999</v>
      </c>
      <c r="E277" s="6">
        <v>3.2965</v>
      </c>
      <c r="F277" s="2"/>
    </row>
    <row r="278" spans="1:6" x14ac:dyDescent="0.2">
      <c r="A278" s="2"/>
      <c r="B278" s="4">
        <v>39569</v>
      </c>
      <c r="C278" s="58">
        <v>431.11</v>
      </c>
      <c r="D278" s="6">
        <v>3.7246000000000001</v>
      </c>
      <c r="E278" s="6">
        <v>3.2006999999999999</v>
      </c>
      <c r="F278" s="2"/>
    </row>
    <row r="279" spans="1:6" x14ac:dyDescent="0.2">
      <c r="A279" s="1"/>
      <c r="B279" s="4">
        <v>39555</v>
      </c>
      <c r="C279" s="58">
        <v>420.56</v>
      </c>
      <c r="D279" s="6">
        <v>3.5768</v>
      </c>
      <c r="E279" s="6">
        <v>2.9716</v>
      </c>
      <c r="F279" s="1"/>
    </row>
    <row r="280" spans="1:6" x14ac:dyDescent="0.2">
      <c r="A280" s="1"/>
      <c r="B280" s="4">
        <v>39539</v>
      </c>
      <c r="C280" s="58">
        <v>415</v>
      </c>
      <c r="D280" s="6">
        <v>3.4468999999999999</v>
      </c>
      <c r="E280" s="6">
        <v>2.8654000000000002</v>
      </c>
      <c r="F280" s="1"/>
    </row>
    <row r="281" spans="1:6" x14ac:dyDescent="0.2">
      <c r="A281" s="1"/>
      <c r="B281" s="4">
        <v>39524</v>
      </c>
      <c r="C281" s="58">
        <v>380.56</v>
      </c>
      <c r="D281" s="6">
        <v>3.4264000000000001</v>
      </c>
      <c r="E281" s="6">
        <v>2.8672</v>
      </c>
      <c r="F281" s="1"/>
    </row>
    <row r="282" spans="1:6" x14ac:dyDescent="0.2">
      <c r="A282" s="1"/>
      <c r="B282" s="4">
        <v>39508</v>
      </c>
      <c r="C282" s="58">
        <v>360</v>
      </c>
      <c r="D282" s="6">
        <v>3.1728000000000001</v>
      </c>
      <c r="E282" s="6">
        <v>2.8060999999999998</v>
      </c>
      <c r="F282" s="1"/>
    </row>
    <row r="283" spans="1:6" x14ac:dyDescent="0.2">
      <c r="A283" s="1"/>
      <c r="B283" s="4">
        <v>39495</v>
      </c>
      <c r="C283" s="58">
        <v>361.25</v>
      </c>
      <c r="D283" s="6">
        <v>2.8719000000000001</v>
      </c>
      <c r="E283" s="6">
        <v>2.5748000000000002</v>
      </c>
      <c r="F283" s="1"/>
    </row>
    <row r="284" spans="1:6" x14ac:dyDescent="0.2">
      <c r="A284" s="1"/>
      <c r="B284" s="4">
        <v>39479</v>
      </c>
      <c r="C284" s="58">
        <v>355</v>
      </c>
      <c r="D284" s="6">
        <v>2.8086000000000002</v>
      </c>
      <c r="E284" s="6">
        <v>2.5669</v>
      </c>
      <c r="F284" s="1"/>
    </row>
    <row r="285" spans="1:6" x14ac:dyDescent="0.2">
      <c r="A285" s="1"/>
      <c r="B285" s="4">
        <v>39464</v>
      </c>
      <c r="C285" s="58">
        <v>356.25</v>
      </c>
      <c r="D285" s="6">
        <v>2.8811</v>
      </c>
      <c r="E285" s="6">
        <v>2.6608000000000001</v>
      </c>
      <c r="F285" s="1"/>
    </row>
    <row r="286" spans="1:6" x14ac:dyDescent="0.2">
      <c r="A286" s="1"/>
      <c r="B286" s="4">
        <v>39448</v>
      </c>
      <c r="C286" s="58">
        <v>351.67</v>
      </c>
      <c r="D286" s="6">
        <v>2.8774000000000002</v>
      </c>
      <c r="E286" s="6">
        <v>2.5674999999999999</v>
      </c>
      <c r="F286" s="1"/>
    </row>
    <row r="287" spans="1:6" x14ac:dyDescent="0.2">
      <c r="A287" s="1"/>
      <c r="B287" s="4">
        <v>39433</v>
      </c>
      <c r="C287" s="58">
        <v>326.67</v>
      </c>
      <c r="D287" s="6">
        <v>2.8195999999999999</v>
      </c>
      <c r="E287" s="6">
        <v>2.4946999999999999</v>
      </c>
      <c r="F287" s="1"/>
    </row>
    <row r="288" spans="1:6" x14ac:dyDescent="0.2">
      <c r="A288" s="1"/>
      <c r="B288" s="4">
        <v>39417</v>
      </c>
      <c r="C288" s="58">
        <v>325.56</v>
      </c>
      <c r="D288" s="6">
        <v>2.9748000000000001</v>
      </c>
      <c r="E288" s="6">
        <v>2.6339000000000001</v>
      </c>
      <c r="F288" s="1"/>
    </row>
    <row r="289" spans="1:6" x14ac:dyDescent="0.2">
      <c r="A289" s="1"/>
      <c r="B289" s="4">
        <v>39403</v>
      </c>
      <c r="C289" s="58">
        <v>322.77999999999997</v>
      </c>
      <c r="D289" s="6">
        <v>2.9251</v>
      </c>
      <c r="E289" s="6">
        <v>2.6585000000000001</v>
      </c>
      <c r="F289" s="1"/>
    </row>
    <row r="290" spans="1:6" x14ac:dyDescent="0.2">
      <c r="A290" s="1"/>
      <c r="B290" s="4">
        <v>39387</v>
      </c>
      <c r="C290" s="58">
        <v>319.44</v>
      </c>
      <c r="D290" s="6">
        <v>2.7134999999999998</v>
      </c>
      <c r="E290" s="6">
        <v>2.4401999999999999</v>
      </c>
      <c r="F290" s="1"/>
    </row>
    <row r="291" spans="1:6" x14ac:dyDescent="0.2">
      <c r="A291" s="1"/>
      <c r="B291" s="4">
        <v>39372</v>
      </c>
      <c r="C291" s="58">
        <v>318.33</v>
      </c>
      <c r="D291" s="6">
        <v>2.6785000000000001</v>
      </c>
      <c r="E291" s="6">
        <v>2.4058999999999999</v>
      </c>
      <c r="F291" s="1"/>
    </row>
    <row r="292" spans="1:6" x14ac:dyDescent="0.2">
      <c r="A292" s="1"/>
      <c r="B292" s="4">
        <v>39356</v>
      </c>
      <c r="C292" s="58">
        <v>317.22000000000003</v>
      </c>
      <c r="D292" s="6">
        <v>2.6135000000000002</v>
      </c>
      <c r="E292" s="6">
        <v>2.3913000000000002</v>
      </c>
      <c r="F292" s="1"/>
    </row>
    <row r="293" spans="1:6" x14ac:dyDescent="0.2">
      <c r="A293" s="1"/>
      <c r="B293" s="4">
        <v>39342</v>
      </c>
      <c r="C293" s="58">
        <v>321.44</v>
      </c>
      <c r="D293" s="6">
        <v>2.4609000000000001</v>
      </c>
      <c r="E293" s="6">
        <v>2.4354</v>
      </c>
      <c r="F293" s="1"/>
    </row>
    <row r="294" spans="1:6" x14ac:dyDescent="0.2">
      <c r="A294" s="1"/>
      <c r="B294" s="4">
        <v>39326</v>
      </c>
      <c r="C294" s="58">
        <v>349.44</v>
      </c>
      <c r="D294" s="6">
        <v>2.3908</v>
      </c>
      <c r="E294" s="6">
        <v>2.2153</v>
      </c>
      <c r="F294" s="1"/>
    </row>
    <row r="295" spans="1:6" x14ac:dyDescent="0.2">
      <c r="A295" s="1"/>
      <c r="B295" s="4">
        <v>39311</v>
      </c>
      <c r="C295" s="58">
        <v>345.56</v>
      </c>
      <c r="D295" s="6">
        <v>2.2924000000000002</v>
      </c>
      <c r="E295" s="6">
        <v>2.2524999999999999</v>
      </c>
      <c r="F295" s="1"/>
    </row>
    <row r="296" spans="1:6" x14ac:dyDescent="0.2">
      <c r="A296" s="1"/>
      <c r="B296" s="4">
        <v>39295</v>
      </c>
      <c r="C296" s="58">
        <v>345.56</v>
      </c>
      <c r="D296" s="6">
        <v>2.4047000000000001</v>
      </c>
      <c r="E296" s="6">
        <v>2.3658999999999999</v>
      </c>
      <c r="F296" s="1"/>
    </row>
    <row r="297" spans="1:6" x14ac:dyDescent="0.2">
      <c r="A297" s="1"/>
      <c r="B297" s="4">
        <v>39280</v>
      </c>
      <c r="C297" s="58">
        <v>325</v>
      </c>
      <c r="D297" s="6">
        <v>2.4510000000000001</v>
      </c>
      <c r="E297" s="6">
        <v>2.6133000000000002</v>
      </c>
      <c r="F297" s="1"/>
    </row>
    <row r="298" spans="1:6" x14ac:dyDescent="0.2">
      <c r="A298" s="1"/>
      <c r="B298" s="4">
        <v>39264</v>
      </c>
      <c r="C298" s="58">
        <v>321.67</v>
      </c>
      <c r="D298" s="6">
        <v>2.4182999999999999</v>
      </c>
      <c r="E298" s="6">
        <v>2.5284</v>
      </c>
      <c r="F298" s="1"/>
    </row>
    <row r="299" spans="1:6" x14ac:dyDescent="0.2">
      <c r="A299" s="1"/>
      <c r="B299" s="4">
        <v>39250</v>
      </c>
      <c r="C299" s="58">
        <v>316.67</v>
      </c>
      <c r="D299" s="6">
        <v>2.3801999999999999</v>
      </c>
      <c r="E299" s="6">
        <v>2.5516000000000001</v>
      </c>
      <c r="F299" s="1"/>
    </row>
    <row r="300" spans="1:6" x14ac:dyDescent="0.2">
      <c r="A300" s="1"/>
      <c r="B300" s="4">
        <v>39234</v>
      </c>
      <c r="C300" s="58">
        <v>313.33</v>
      </c>
      <c r="D300" s="6">
        <v>2.3584999999999998</v>
      </c>
      <c r="E300" s="6">
        <v>2.6063000000000001</v>
      </c>
      <c r="F300" s="1"/>
    </row>
    <row r="301" spans="1:6" x14ac:dyDescent="0.2">
      <c r="A301" s="1"/>
      <c r="B301" s="4">
        <v>39219</v>
      </c>
      <c r="C301" s="58">
        <v>308.75</v>
      </c>
      <c r="D301" s="6">
        <v>2.2488000000000001</v>
      </c>
      <c r="E301" s="6">
        <v>2.5773000000000001</v>
      </c>
      <c r="F301" s="1"/>
    </row>
    <row r="302" spans="1:6" x14ac:dyDescent="0.2">
      <c r="A302" s="1"/>
      <c r="B302" s="4">
        <v>39203</v>
      </c>
      <c r="C302" s="58">
        <v>308.75</v>
      </c>
      <c r="D302" s="6">
        <v>2.2774000000000001</v>
      </c>
      <c r="E302" s="6">
        <v>2.6284999999999998</v>
      </c>
      <c r="F302" s="1"/>
    </row>
    <row r="303" spans="1:6" x14ac:dyDescent="0.2">
      <c r="A303" s="1"/>
      <c r="B303" s="4">
        <v>39189</v>
      </c>
      <c r="C303" s="58">
        <v>308.75</v>
      </c>
      <c r="D303" s="6">
        <v>2.4115000000000002</v>
      </c>
      <c r="E303" s="6">
        <v>2.4963000000000002</v>
      </c>
      <c r="F303" s="1"/>
    </row>
    <row r="304" spans="1:6" x14ac:dyDescent="0.2">
      <c r="A304" s="1"/>
      <c r="B304" s="4">
        <v>39173</v>
      </c>
      <c r="C304" s="58">
        <v>312.89</v>
      </c>
      <c r="D304" s="6">
        <v>2.1522999999999999</v>
      </c>
      <c r="E304" s="6">
        <v>2.1573000000000002</v>
      </c>
      <c r="F304" s="1"/>
    </row>
    <row r="305" spans="1:6" x14ac:dyDescent="0.2">
      <c r="A305" s="1"/>
      <c r="B305" s="4">
        <v>39158</v>
      </c>
      <c r="C305" s="58">
        <v>309.56</v>
      </c>
      <c r="D305" s="6">
        <v>2.2841</v>
      </c>
      <c r="E305" s="6">
        <v>2.1516000000000002</v>
      </c>
      <c r="F305" s="1"/>
    </row>
    <row r="306" spans="1:6" x14ac:dyDescent="0.2">
      <c r="A306" s="1"/>
      <c r="B306" s="4">
        <v>39142</v>
      </c>
      <c r="C306" s="58">
        <v>309.56</v>
      </c>
      <c r="D306" s="6">
        <v>2.0788000000000002</v>
      </c>
      <c r="E306" s="6">
        <v>1.9918</v>
      </c>
      <c r="F306" s="1"/>
    </row>
    <row r="307" spans="1:6" x14ac:dyDescent="0.2">
      <c r="A307" s="1"/>
      <c r="B307" s="4">
        <v>39130</v>
      </c>
      <c r="C307" s="58">
        <v>311.22000000000003</v>
      </c>
      <c r="D307" s="6">
        <v>2.0385</v>
      </c>
      <c r="E307" s="6">
        <v>1.8163</v>
      </c>
      <c r="F307" s="1"/>
    </row>
    <row r="308" spans="1:6" x14ac:dyDescent="0.2">
      <c r="A308" s="1"/>
      <c r="B308" s="4">
        <v>39114</v>
      </c>
      <c r="C308" s="58">
        <v>309.56</v>
      </c>
      <c r="D308" s="6">
        <v>1.9726999999999999</v>
      </c>
      <c r="E308" s="6">
        <v>1.7526999999999999</v>
      </c>
      <c r="F308" s="1"/>
    </row>
    <row r="309" spans="1:6" x14ac:dyDescent="0.2">
      <c r="A309" s="1"/>
      <c r="B309" s="4">
        <v>39099</v>
      </c>
      <c r="C309" s="58">
        <v>314</v>
      </c>
      <c r="D309" s="6">
        <v>1.9035</v>
      </c>
      <c r="E309" s="6">
        <v>1.7276</v>
      </c>
      <c r="F309" s="1"/>
    </row>
    <row r="310" spans="1:6" x14ac:dyDescent="0.2">
      <c r="A310" s="1"/>
      <c r="B310" s="4">
        <v>39083</v>
      </c>
      <c r="C310" s="58">
        <v>314</v>
      </c>
      <c r="D310" s="6">
        <v>2.0929000000000002</v>
      </c>
      <c r="E310" s="6">
        <v>1.988</v>
      </c>
      <c r="F310" s="1"/>
    </row>
    <row r="311" spans="1:6" x14ac:dyDescent="0.2">
      <c r="A311" s="1"/>
      <c r="B311" s="4">
        <v>39068</v>
      </c>
      <c r="C311" s="58">
        <v>314</v>
      </c>
      <c r="D311" s="6">
        <v>2.1619999999999999</v>
      </c>
      <c r="E311" s="6">
        <v>1.9054</v>
      </c>
      <c r="F311" s="1"/>
    </row>
    <row r="312" spans="1:6" x14ac:dyDescent="0.2">
      <c r="A312" s="1"/>
      <c r="B312" s="4">
        <v>39052</v>
      </c>
      <c r="C312" s="58">
        <v>318.67</v>
      </c>
      <c r="D312" s="6">
        <v>2.1808999999999998</v>
      </c>
      <c r="E312" s="6">
        <v>1.9276</v>
      </c>
      <c r="F312" s="1"/>
    </row>
    <row r="313" spans="1:6" x14ac:dyDescent="0.2">
      <c r="A313" s="1"/>
      <c r="B313" s="4">
        <v>39038</v>
      </c>
      <c r="C313" s="58">
        <v>338.78</v>
      </c>
      <c r="D313" s="6">
        <v>2.1271</v>
      </c>
      <c r="E313" s="6">
        <v>1.9187000000000001</v>
      </c>
      <c r="F313" s="1"/>
    </row>
    <row r="314" spans="1:6" x14ac:dyDescent="0.2">
      <c r="A314" s="1"/>
      <c r="B314" s="4">
        <v>39022</v>
      </c>
      <c r="C314" s="58">
        <v>351.33</v>
      </c>
      <c r="D314" s="6">
        <v>2.0836000000000001</v>
      </c>
      <c r="E314" s="6">
        <v>1.8956999999999999</v>
      </c>
      <c r="F314" s="1"/>
    </row>
    <row r="315" spans="1:6" x14ac:dyDescent="0.2">
      <c r="A315" s="1"/>
      <c r="B315" s="4">
        <v>39007</v>
      </c>
      <c r="C315" s="58">
        <v>376.11</v>
      </c>
      <c r="D315" s="6">
        <v>2.0518999999999998</v>
      </c>
      <c r="E315" s="6">
        <v>1.8304</v>
      </c>
      <c r="F315" s="1"/>
    </row>
    <row r="316" spans="1:6" x14ac:dyDescent="0.2">
      <c r="A316" s="1"/>
      <c r="B316" s="4">
        <v>38991</v>
      </c>
      <c r="C316" s="58">
        <v>396.67</v>
      </c>
      <c r="D316" s="6">
        <v>1.9832000000000001</v>
      </c>
      <c r="E316" s="6">
        <v>1.8229</v>
      </c>
      <c r="F316" s="1"/>
    </row>
    <row r="317" spans="1:6" x14ac:dyDescent="0.2">
      <c r="A317" s="1"/>
      <c r="B317" s="4">
        <v>38977</v>
      </c>
      <c r="C317" s="58">
        <v>417.22</v>
      </c>
      <c r="D317" s="6">
        <v>2.2957000000000001</v>
      </c>
      <c r="E317" s="6">
        <v>2.0001000000000002</v>
      </c>
      <c r="F317" s="1"/>
    </row>
    <row r="318" spans="1:6" x14ac:dyDescent="0.2">
      <c r="A318" s="1"/>
      <c r="B318" s="4">
        <v>38961</v>
      </c>
      <c r="C318" s="5">
        <v>417.22</v>
      </c>
      <c r="D318" s="6">
        <v>2.4045999999999998</v>
      </c>
      <c r="E318" s="6">
        <v>2.1309</v>
      </c>
      <c r="F318" s="1"/>
    </row>
    <row r="319" spans="1:6" x14ac:dyDescent="0.2">
      <c r="A319" s="1"/>
      <c r="B319" s="4">
        <v>38946</v>
      </c>
      <c r="C319" s="5">
        <v>411.88</v>
      </c>
      <c r="D319" s="6">
        <v>2.4493999999999998</v>
      </c>
      <c r="E319" s="6">
        <v>2.3391000000000002</v>
      </c>
      <c r="F319" s="1"/>
    </row>
    <row r="320" spans="1:6" x14ac:dyDescent="0.2">
      <c r="A320" s="1"/>
      <c r="B320" s="4">
        <v>38930</v>
      </c>
      <c r="C320" s="5">
        <v>411.25</v>
      </c>
      <c r="D320" s="6">
        <v>2.5777999999999999</v>
      </c>
      <c r="E320" s="6">
        <v>2.5680999999999998</v>
      </c>
      <c r="F320" s="1"/>
    </row>
    <row r="321" spans="1:6" x14ac:dyDescent="0.2">
      <c r="A321" s="1"/>
      <c r="B321" s="4">
        <v>38915</v>
      </c>
      <c r="C321" s="5">
        <v>405.56</v>
      </c>
      <c r="D321" s="6">
        <v>2.5299999999999998</v>
      </c>
      <c r="E321" s="6">
        <v>2.59</v>
      </c>
      <c r="F321" s="1"/>
    </row>
    <row r="322" spans="1:6" x14ac:dyDescent="0.2">
      <c r="A322" s="1"/>
      <c r="B322" s="4">
        <v>38899</v>
      </c>
      <c r="C322" s="5">
        <v>391.25</v>
      </c>
      <c r="D322" s="6">
        <v>2.3281000000000001</v>
      </c>
      <c r="E322" s="6">
        <v>2.3445</v>
      </c>
      <c r="F322" s="1"/>
    </row>
    <row r="323" spans="1:6" x14ac:dyDescent="0.2">
      <c r="A323" s="1"/>
      <c r="B323" s="4">
        <v>38885</v>
      </c>
      <c r="C323" s="5">
        <v>369.38</v>
      </c>
      <c r="D323" s="6">
        <v>2.4782999999999999</v>
      </c>
      <c r="E323" s="6">
        <v>2.4218999999999999</v>
      </c>
      <c r="F323" s="1"/>
    </row>
    <row r="324" spans="1:6" x14ac:dyDescent="0.2">
      <c r="A324" s="1"/>
      <c r="B324" s="4">
        <v>38869</v>
      </c>
      <c r="C324" s="5">
        <v>367.22</v>
      </c>
      <c r="D324" s="6">
        <v>2.3490000000000002</v>
      </c>
      <c r="E324" s="6">
        <v>2.2496999999999998</v>
      </c>
      <c r="F324" s="1"/>
    </row>
    <row r="325" spans="1:6" x14ac:dyDescent="0.2">
      <c r="A325" s="1"/>
      <c r="B325" s="4">
        <v>38854</v>
      </c>
      <c r="C325" s="5">
        <v>357.56</v>
      </c>
      <c r="D325" s="6">
        <v>2.4659</v>
      </c>
      <c r="E325" s="6">
        <v>2.4533999999999998</v>
      </c>
      <c r="F325" s="1"/>
    </row>
    <row r="326" spans="1:6" x14ac:dyDescent="0.2">
      <c r="A326" s="1"/>
      <c r="B326" s="4">
        <v>38838</v>
      </c>
      <c r="C326" s="5">
        <v>348.11</v>
      </c>
      <c r="D326" s="6">
        <v>2.4811999999999999</v>
      </c>
      <c r="E326" s="6">
        <v>2.5796000000000001</v>
      </c>
      <c r="F326" s="1"/>
    </row>
    <row r="327" spans="1:6" x14ac:dyDescent="0.2">
      <c r="A327" s="1"/>
      <c r="B327" s="4">
        <v>38824</v>
      </c>
      <c r="C327" s="5">
        <v>318</v>
      </c>
      <c r="D327" s="6">
        <v>2.2269999999999999</v>
      </c>
      <c r="E327" s="6">
        <v>2.3573</v>
      </c>
      <c r="F327" s="1"/>
    </row>
    <row r="328" spans="1:6" x14ac:dyDescent="0.2">
      <c r="A328" s="1"/>
      <c r="B328" s="4">
        <v>38808</v>
      </c>
      <c r="C328" s="5">
        <v>303.89</v>
      </c>
      <c r="D328" s="6">
        <v>2.0973999999999999</v>
      </c>
      <c r="E328" s="6">
        <v>2.0394000000000001</v>
      </c>
      <c r="F328" s="1"/>
    </row>
    <row r="329" spans="1:6" x14ac:dyDescent="0.2">
      <c r="A329" s="1"/>
      <c r="B329" s="4">
        <v>38793</v>
      </c>
      <c r="C329" s="5">
        <v>286.13</v>
      </c>
      <c r="D329" s="6">
        <v>2.0905999999999998</v>
      </c>
      <c r="E329" s="6">
        <v>1.9729000000000001</v>
      </c>
      <c r="F329" s="1"/>
    </row>
    <row r="330" spans="1:6" x14ac:dyDescent="0.2">
      <c r="A330" s="1"/>
      <c r="B330" s="4">
        <v>38777</v>
      </c>
      <c r="C330" s="5">
        <v>275.56</v>
      </c>
      <c r="D330" s="6">
        <v>2.0318000000000001</v>
      </c>
      <c r="E330" s="6">
        <v>1.7757000000000001</v>
      </c>
      <c r="F330" s="1"/>
    </row>
    <row r="331" spans="1:6" x14ac:dyDescent="0.2">
      <c r="A331" s="1"/>
      <c r="B331" s="4">
        <v>38765</v>
      </c>
      <c r="C331" s="5">
        <v>272.08999999999997</v>
      </c>
      <c r="D331" s="6">
        <v>2.0038999999999998</v>
      </c>
      <c r="E331" s="6">
        <v>1.8122</v>
      </c>
      <c r="F331" s="1"/>
    </row>
    <row r="332" spans="1:6" x14ac:dyDescent="0.2">
      <c r="A332" s="1"/>
      <c r="B332" s="4">
        <v>38749</v>
      </c>
      <c r="C332" s="5">
        <v>252.2</v>
      </c>
      <c r="D332" s="6">
        <v>2.0787</v>
      </c>
      <c r="E332" s="6">
        <v>1.8967000000000001</v>
      </c>
      <c r="F332" s="1"/>
    </row>
    <row r="333" spans="1:6" x14ac:dyDescent="0.2">
      <c r="A333" s="1"/>
      <c r="B333" s="4">
        <v>38734</v>
      </c>
      <c r="C333" s="5">
        <v>248.75</v>
      </c>
      <c r="D333" s="6">
        <v>1.9710000000000001</v>
      </c>
      <c r="E333" s="6">
        <v>1.9484999999999999</v>
      </c>
      <c r="F333" s="1"/>
    </row>
    <row r="334" spans="1:6" x14ac:dyDescent="0.2">
      <c r="A334" s="1"/>
      <c r="B334" s="4">
        <v>38718</v>
      </c>
      <c r="C334" s="5">
        <v>246.67</v>
      </c>
      <c r="D334" s="6">
        <v>2.0550000000000002</v>
      </c>
      <c r="E334" s="6">
        <v>1.94</v>
      </c>
      <c r="F334" s="1"/>
    </row>
    <row r="335" spans="1:6" x14ac:dyDescent="0.2">
      <c r="A335" s="1"/>
      <c r="B335" s="4">
        <v>38703</v>
      </c>
      <c r="C335" s="5">
        <v>247.22</v>
      </c>
      <c r="D335" s="6">
        <v>2.0049999999999999</v>
      </c>
      <c r="E335" s="6">
        <v>1.8149999999999999</v>
      </c>
      <c r="F335" s="1"/>
    </row>
    <row r="336" spans="1:6" x14ac:dyDescent="0.2">
      <c r="A336" s="1"/>
      <c r="B336" s="4">
        <v>38687</v>
      </c>
      <c r="C336" s="5">
        <v>249.38</v>
      </c>
      <c r="D336" s="6">
        <v>1.91</v>
      </c>
      <c r="E336" s="6">
        <v>1.6879999999999999</v>
      </c>
      <c r="F336" s="1"/>
    </row>
    <row r="337" spans="1:6" x14ac:dyDescent="0.2">
      <c r="A337" s="1"/>
      <c r="B337" s="4">
        <v>38673</v>
      </c>
      <c r="C337" s="5">
        <v>246.67</v>
      </c>
      <c r="D337" s="6">
        <v>1.9926999999999999</v>
      </c>
      <c r="E337" s="6">
        <v>1.7361</v>
      </c>
      <c r="F337" s="1"/>
    </row>
    <row r="338" spans="1:6" x14ac:dyDescent="0.2">
      <c r="A338" s="1"/>
      <c r="B338" s="4">
        <v>38657</v>
      </c>
      <c r="C338" s="5">
        <v>247.62</v>
      </c>
      <c r="D338" s="6">
        <v>2.1676000000000002</v>
      </c>
      <c r="E338" s="6">
        <v>1.905</v>
      </c>
      <c r="F338" s="1"/>
    </row>
    <row r="339" spans="1:6" x14ac:dyDescent="0.2">
      <c r="A339" s="1"/>
      <c r="B339" s="4">
        <v>38642</v>
      </c>
      <c r="C339" s="5">
        <v>247.8</v>
      </c>
      <c r="D339" s="6">
        <v>2.7149000000000001</v>
      </c>
      <c r="E339" s="6">
        <v>2.1555</v>
      </c>
      <c r="F339" s="1"/>
    </row>
    <row r="340" spans="1:6" x14ac:dyDescent="0.2">
      <c r="A340" s="1"/>
      <c r="B340" s="4">
        <v>38626</v>
      </c>
      <c r="C340" s="5">
        <v>242.33</v>
      </c>
      <c r="D340" s="6">
        <v>2.9687999999999999</v>
      </c>
      <c r="E340" s="6">
        <v>2.7328000000000001</v>
      </c>
      <c r="F340" s="1"/>
    </row>
    <row r="341" spans="1:6" x14ac:dyDescent="0.2">
      <c r="A341" s="1"/>
      <c r="B341" s="4">
        <v>38612</v>
      </c>
      <c r="C341" s="5">
        <v>235.2</v>
      </c>
      <c r="D341" s="6">
        <v>2.2004000000000001</v>
      </c>
      <c r="E341" s="6">
        <v>2.1358999999999999</v>
      </c>
      <c r="F341" s="1"/>
    </row>
    <row r="342" spans="1:6" x14ac:dyDescent="0.2">
      <c r="A342" s="1"/>
      <c r="B342" s="4">
        <v>38596</v>
      </c>
      <c r="C342" s="5">
        <v>232.22</v>
      </c>
      <c r="D342" s="6">
        <v>2.4451000000000001</v>
      </c>
      <c r="E342" s="6">
        <v>2.7012</v>
      </c>
      <c r="F342" s="1"/>
    </row>
    <row r="343" spans="1:6" x14ac:dyDescent="0.2">
      <c r="A343" s="1"/>
      <c r="B343" s="4">
        <v>38581</v>
      </c>
      <c r="C343" s="5">
        <v>226.7</v>
      </c>
      <c r="D343" s="6">
        <v>2.1032000000000002</v>
      </c>
      <c r="E343" s="6">
        <v>2.0903</v>
      </c>
      <c r="F343" s="1"/>
    </row>
    <row r="344" spans="1:6" x14ac:dyDescent="0.2">
      <c r="A344" s="1"/>
      <c r="B344" s="4">
        <v>38565</v>
      </c>
      <c r="C344" s="5">
        <v>226.2</v>
      </c>
      <c r="D344" s="6">
        <v>1.8386</v>
      </c>
      <c r="E344" s="6">
        <v>1.8227</v>
      </c>
      <c r="F344" s="1"/>
    </row>
    <row r="345" spans="1:6" x14ac:dyDescent="0.2">
      <c r="A345" s="1"/>
      <c r="B345" s="4">
        <v>38550</v>
      </c>
      <c r="C345" s="5">
        <v>224.4</v>
      </c>
      <c r="D345" s="6">
        <v>2.0589</v>
      </c>
      <c r="E345" s="6">
        <v>1.9375</v>
      </c>
      <c r="F345" s="1"/>
    </row>
    <row r="346" spans="1:6" x14ac:dyDescent="0.2">
      <c r="A346" s="1"/>
      <c r="B346" s="4">
        <v>38534</v>
      </c>
      <c r="C346" s="5">
        <v>223</v>
      </c>
      <c r="D346" s="6">
        <v>1.9157999999999999</v>
      </c>
      <c r="E346" s="6">
        <v>1.8025</v>
      </c>
      <c r="F346" s="1"/>
    </row>
    <row r="347" spans="1:6" x14ac:dyDescent="0.2">
      <c r="A347" s="1"/>
      <c r="B347" s="4">
        <v>38520</v>
      </c>
      <c r="C347" s="5">
        <v>213.13</v>
      </c>
      <c r="D347" s="6">
        <v>1.8795999999999999</v>
      </c>
      <c r="E347" s="6">
        <v>1.7122999999999999</v>
      </c>
      <c r="F347" s="1"/>
    </row>
    <row r="348" spans="1:6" x14ac:dyDescent="0.2">
      <c r="A348" s="1"/>
      <c r="B348" s="4">
        <v>38504</v>
      </c>
      <c r="C348" s="5">
        <v>215</v>
      </c>
      <c r="D348" s="6">
        <v>1.7670999999999999</v>
      </c>
      <c r="E348" s="6">
        <v>1.6571</v>
      </c>
      <c r="F348" s="1"/>
    </row>
    <row r="349" spans="1:6" x14ac:dyDescent="0.2">
      <c r="A349" s="1"/>
      <c r="B349" s="4">
        <v>38489</v>
      </c>
      <c r="C349" s="5">
        <v>213.75</v>
      </c>
      <c r="D349" s="6">
        <v>1.7323999999999999</v>
      </c>
      <c r="E349" s="6">
        <v>1.7013</v>
      </c>
      <c r="F349" s="1"/>
    </row>
    <row r="350" spans="1:6" x14ac:dyDescent="0.2">
      <c r="A350" s="1"/>
      <c r="B350" s="4">
        <v>38473</v>
      </c>
      <c r="C350" s="5">
        <v>216.5</v>
      </c>
      <c r="D350" s="6">
        <v>1.8444</v>
      </c>
      <c r="E350" s="6">
        <v>1.7888999999999999</v>
      </c>
      <c r="F350" s="1"/>
    </row>
    <row r="351" spans="1:6" x14ac:dyDescent="0.2">
      <c r="A351" s="1"/>
      <c r="B351" s="4">
        <v>38459</v>
      </c>
      <c r="C351" s="5">
        <v>214.38</v>
      </c>
      <c r="D351" s="6">
        <v>1.8735999999999999</v>
      </c>
      <c r="E351" s="6">
        <v>1.8638999999999999</v>
      </c>
      <c r="F351" s="1"/>
    </row>
    <row r="352" spans="1:6" x14ac:dyDescent="0.2">
      <c r="A352" s="1"/>
      <c r="B352" s="4">
        <v>38443</v>
      </c>
      <c r="C352" s="5">
        <v>213.75</v>
      </c>
      <c r="D352" s="6">
        <v>1.7981</v>
      </c>
      <c r="E352" s="6">
        <v>1.7846</v>
      </c>
      <c r="F352" s="1"/>
    </row>
    <row r="353" spans="1:6" x14ac:dyDescent="0.2">
      <c r="A353" s="1"/>
      <c r="B353" s="4">
        <v>38428</v>
      </c>
      <c r="C353" s="5">
        <v>192.5</v>
      </c>
      <c r="D353" s="6">
        <v>1.78</v>
      </c>
      <c r="E353" s="6">
        <v>1.6892</v>
      </c>
      <c r="F353" s="1"/>
    </row>
    <row r="354" spans="1:6" x14ac:dyDescent="0.2">
      <c r="A354" s="1"/>
      <c r="B354" s="4">
        <v>38412</v>
      </c>
      <c r="C354" s="5">
        <v>193.5</v>
      </c>
      <c r="D354" s="6">
        <v>1.7264999999999999</v>
      </c>
      <c r="E354" s="6">
        <v>1.5471999999999999</v>
      </c>
      <c r="F354" s="1"/>
    </row>
    <row r="355" spans="1:6" x14ac:dyDescent="0.2">
      <c r="A355" s="1"/>
      <c r="B355" s="4">
        <v>38400</v>
      </c>
      <c r="C355" s="5">
        <v>193</v>
      </c>
      <c r="D355" s="6">
        <v>1.5327999999999999</v>
      </c>
      <c r="E355" s="6">
        <v>1.4579</v>
      </c>
      <c r="F355" s="1"/>
    </row>
    <row r="356" spans="1:6" x14ac:dyDescent="0.2">
      <c r="A356" s="1"/>
      <c r="B356" s="4">
        <v>38384</v>
      </c>
      <c r="C356" s="5">
        <v>193.75</v>
      </c>
      <c r="D356" s="6">
        <v>1.6188</v>
      </c>
      <c r="E356" s="6">
        <v>1.573</v>
      </c>
      <c r="F356" s="1"/>
    </row>
    <row r="357" spans="1:6" x14ac:dyDescent="0.2">
      <c r="A357" s="1"/>
      <c r="B357" s="4">
        <v>38369</v>
      </c>
      <c r="C357" s="5">
        <v>203.33</v>
      </c>
      <c r="D357" s="6">
        <v>1.4548000000000001</v>
      </c>
      <c r="E357" s="6">
        <v>1.4164000000000001</v>
      </c>
      <c r="F357" s="1"/>
    </row>
    <row r="358" spans="1:6" x14ac:dyDescent="0.2">
      <c r="A358" s="1"/>
      <c r="B358" s="4">
        <v>38353</v>
      </c>
      <c r="C358" s="5">
        <v>197</v>
      </c>
      <c r="D358" s="6">
        <v>1.5696000000000001</v>
      </c>
      <c r="E358" s="6">
        <v>1.3567</v>
      </c>
      <c r="F358" s="1"/>
    </row>
    <row r="359" spans="1:6" x14ac:dyDescent="0.2">
      <c r="A359" s="1"/>
      <c r="B359" s="4">
        <v>38338</v>
      </c>
      <c r="C359" s="5">
        <v>196.11</v>
      </c>
      <c r="D359" s="6">
        <v>1.4178999999999999</v>
      </c>
      <c r="E359" s="6">
        <v>1.2419</v>
      </c>
      <c r="F359" s="1"/>
    </row>
    <row r="360" spans="1:6" x14ac:dyDescent="0.2">
      <c r="A360" s="1"/>
      <c r="B360" s="4">
        <v>38322</v>
      </c>
      <c r="C360" s="5">
        <v>202.78</v>
      </c>
      <c r="D360" s="6">
        <v>1.6422000000000001</v>
      </c>
      <c r="E360" s="6">
        <v>1.5305</v>
      </c>
      <c r="F360" s="1"/>
    </row>
    <row r="361" spans="1:6" x14ac:dyDescent="0.2">
      <c r="A361" s="1"/>
      <c r="B361" s="4">
        <v>38308</v>
      </c>
      <c r="C361" s="5">
        <v>205</v>
      </c>
      <c r="D361" s="6">
        <v>1.6209</v>
      </c>
      <c r="E361" s="6">
        <v>1.5184</v>
      </c>
      <c r="F361" s="1"/>
    </row>
    <row r="362" spans="1:6" x14ac:dyDescent="0.2">
      <c r="A362" s="1"/>
      <c r="B362" s="4">
        <v>38292</v>
      </c>
      <c r="C362" s="5">
        <v>220.83</v>
      </c>
      <c r="D362" s="6">
        <v>1.6782999999999999</v>
      </c>
      <c r="E362" s="6">
        <v>1.5569</v>
      </c>
      <c r="F362" s="1"/>
    </row>
    <row r="363" spans="1:6" x14ac:dyDescent="0.2">
      <c r="A363" s="1"/>
      <c r="B363" s="4">
        <v>38277</v>
      </c>
      <c r="C363" s="5">
        <v>218.64</v>
      </c>
      <c r="D363" s="6">
        <v>1.8070999999999999</v>
      </c>
      <c r="E363" s="6">
        <v>1.637</v>
      </c>
      <c r="F363" s="1"/>
    </row>
    <row r="364" spans="1:6" x14ac:dyDescent="0.2">
      <c r="A364" s="1"/>
      <c r="B364" s="4">
        <v>38261</v>
      </c>
      <c r="C364" s="5">
        <v>219.89</v>
      </c>
      <c r="D364" s="6">
        <v>1.6418999999999999</v>
      </c>
      <c r="E364" s="6">
        <v>1.5634999999999999</v>
      </c>
      <c r="F364" s="1"/>
    </row>
    <row r="365" spans="1:6" x14ac:dyDescent="0.2">
      <c r="A365" s="1"/>
      <c r="B365" s="4">
        <v>38247</v>
      </c>
      <c r="C365" s="5">
        <v>218.33</v>
      </c>
      <c r="D365" s="6">
        <v>1.4511000000000001</v>
      </c>
      <c r="E365" s="6">
        <v>1.4138999999999999</v>
      </c>
      <c r="F365" s="1"/>
    </row>
    <row r="366" spans="1:6" x14ac:dyDescent="0.2">
      <c r="A366" s="1"/>
      <c r="B366" s="4">
        <v>38231</v>
      </c>
      <c r="C366" s="5">
        <v>220.63</v>
      </c>
      <c r="D366" s="6">
        <v>1.4108000000000001</v>
      </c>
      <c r="E366" s="6">
        <v>1.407</v>
      </c>
      <c r="F366" s="1"/>
    </row>
    <row r="367" spans="1:6" x14ac:dyDescent="0.2">
      <c r="A367" s="1"/>
      <c r="B367" s="4">
        <v>38216</v>
      </c>
      <c r="C367" s="5">
        <v>213.13</v>
      </c>
      <c r="D367" s="6">
        <v>1.3817999999999999</v>
      </c>
      <c r="E367" s="6">
        <v>1.4322999999999999</v>
      </c>
      <c r="F367" s="1"/>
    </row>
    <row r="368" spans="1:6" x14ac:dyDescent="0.2">
      <c r="A368" s="1"/>
      <c r="B368" s="4">
        <v>38200</v>
      </c>
      <c r="C368" s="5">
        <v>210.63</v>
      </c>
      <c r="D368" s="6">
        <v>1.3180000000000001</v>
      </c>
      <c r="E368" s="6">
        <v>1.4530000000000001</v>
      </c>
      <c r="F368" s="1"/>
    </row>
    <row r="369" spans="1:6" x14ac:dyDescent="0.2">
      <c r="A369" s="1"/>
      <c r="B369" s="4">
        <v>38185</v>
      </c>
      <c r="C369" s="5">
        <v>212.5</v>
      </c>
      <c r="D369" s="6">
        <v>1.3090999999999999</v>
      </c>
      <c r="E369" s="6">
        <v>1.4799</v>
      </c>
      <c r="F369" s="1"/>
    </row>
    <row r="370" spans="1:6" x14ac:dyDescent="0.2">
      <c r="A370" s="1"/>
      <c r="B370" s="4">
        <v>38169</v>
      </c>
      <c r="C370" s="5">
        <v>212.5</v>
      </c>
      <c r="D370" s="6">
        <v>1.2430000000000001</v>
      </c>
      <c r="E370" s="6">
        <v>1.4153</v>
      </c>
      <c r="F370" s="1"/>
    </row>
    <row r="371" spans="1:6" x14ac:dyDescent="0.2">
      <c r="A371" s="1"/>
      <c r="B371" s="4">
        <v>38155</v>
      </c>
      <c r="C371" s="5">
        <v>212.5</v>
      </c>
      <c r="D371" s="6">
        <v>1.2133</v>
      </c>
      <c r="E371" s="6">
        <v>1.421</v>
      </c>
      <c r="F371" s="1"/>
    </row>
    <row r="372" spans="1:6" x14ac:dyDescent="0.2">
      <c r="A372" s="1"/>
      <c r="B372" s="4">
        <v>38139</v>
      </c>
      <c r="C372" s="5">
        <v>212.5</v>
      </c>
      <c r="D372" s="6">
        <v>1.2546999999999999</v>
      </c>
      <c r="E372" s="6">
        <v>1.5584</v>
      </c>
      <c r="F372" s="1"/>
    </row>
    <row r="373" spans="1:6" x14ac:dyDescent="0.2">
      <c r="A373" s="1"/>
      <c r="B373" s="4">
        <v>38124</v>
      </c>
      <c r="C373" s="5">
        <v>182.5</v>
      </c>
      <c r="D373" s="6">
        <v>1.2602</v>
      </c>
      <c r="E373" s="6">
        <v>1.5254000000000001</v>
      </c>
      <c r="F373" s="1"/>
    </row>
    <row r="374" spans="1:6" x14ac:dyDescent="0.2">
      <c r="A374" s="1"/>
      <c r="B374" s="4">
        <v>38108</v>
      </c>
      <c r="C374" s="5">
        <v>175.63</v>
      </c>
      <c r="D374" s="6">
        <v>1.1932</v>
      </c>
      <c r="E374" s="6">
        <v>1.357</v>
      </c>
      <c r="F374" s="1"/>
    </row>
    <row r="375" spans="1:6" x14ac:dyDescent="0.2">
      <c r="A375" s="1"/>
      <c r="B375" s="4">
        <v>38094</v>
      </c>
      <c r="C375" s="5">
        <v>170.63</v>
      </c>
      <c r="D375" s="6">
        <v>1.3447</v>
      </c>
      <c r="E375" s="6">
        <v>1.3734</v>
      </c>
      <c r="F375" s="1"/>
    </row>
    <row r="376" spans="1:6" x14ac:dyDescent="0.2">
      <c r="A376" s="1"/>
      <c r="B376" s="4">
        <v>38078</v>
      </c>
      <c r="C376" s="5">
        <v>168.75</v>
      </c>
      <c r="D376" s="6">
        <v>1.2262999999999999</v>
      </c>
      <c r="E376" s="6">
        <v>1.3592</v>
      </c>
      <c r="F376" s="1"/>
    </row>
    <row r="377" spans="1:6" x14ac:dyDescent="0.2">
      <c r="A377" s="1"/>
      <c r="B377" s="4">
        <v>38063</v>
      </c>
      <c r="C377" s="5">
        <v>166.88</v>
      </c>
      <c r="D377" s="6">
        <v>1.2444999999999999</v>
      </c>
      <c r="E377" s="6">
        <v>1.1543000000000001</v>
      </c>
      <c r="F377" s="1"/>
    </row>
    <row r="378" spans="1:6" x14ac:dyDescent="0.2">
      <c r="A378" s="1"/>
      <c r="B378" s="4">
        <v>38047</v>
      </c>
      <c r="C378" s="5">
        <v>166.25</v>
      </c>
      <c r="D378" s="6">
        <v>1.1892</v>
      </c>
      <c r="E378" s="6">
        <v>1.2746</v>
      </c>
      <c r="F378" s="1"/>
    </row>
    <row r="379" spans="1:6" x14ac:dyDescent="0.2">
      <c r="A379" s="1"/>
      <c r="B379" s="4">
        <v>38018</v>
      </c>
      <c r="C379" s="5">
        <v>160</v>
      </c>
      <c r="D379" s="6">
        <v>1.2373000000000001</v>
      </c>
      <c r="E379" s="6">
        <v>1.2415</v>
      </c>
      <c r="F379" s="1"/>
    </row>
    <row r="380" spans="1:6" x14ac:dyDescent="0.2">
      <c r="A380" s="1"/>
      <c r="B380" s="4">
        <v>37987</v>
      </c>
      <c r="C380" s="5">
        <v>156.88</v>
      </c>
      <c r="D380" s="6">
        <v>1.0833999999999999</v>
      </c>
      <c r="E380" s="6">
        <v>1.1034999999999999</v>
      </c>
      <c r="F380" s="1"/>
    </row>
    <row r="381" spans="1:6" x14ac:dyDescent="0.2">
      <c r="A381" s="1"/>
      <c r="B381" s="4">
        <v>37956</v>
      </c>
      <c r="C381" s="5">
        <v>157.81</v>
      </c>
      <c r="D381" s="6">
        <v>1.0579000000000001</v>
      </c>
      <c r="E381" s="6">
        <v>1.1001000000000001</v>
      </c>
      <c r="F381" s="1"/>
    </row>
    <row r="382" spans="1:6" x14ac:dyDescent="0.2">
      <c r="A382" s="1"/>
      <c r="B382" s="4">
        <v>37926</v>
      </c>
      <c r="C382" s="5">
        <v>158.75</v>
      </c>
      <c r="D382" s="6">
        <v>1.0885</v>
      </c>
      <c r="E382" s="6">
        <v>1.0331999999999999</v>
      </c>
      <c r="F382" s="1"/>
    </row>
    <row r="383" spans="1:6" x14ac:dyDescent="0.2">
      <c r="A383" s="1"/>
      <c r="B383" s="4">
        <v>37895</v>
      </c>
      <c r="C383" s="5">
        <v>168.75</v>
      </c>
      <c r="D383" s="6">
        <v>0.96789999999999998</v>
      </c>
      <c r="E383" s="6">
        <v>0.99029999999999996</v>
      </c>
      <c r="F383" s="1"/>
    </row>
    <row r="384" spans="1:6" x14ac:dyDescent="0.2">
      <c r="A384" s="1"/>
      <c r="B384" s="4">
        <v>37865</v>
      </c>
      <c r="C384" s="5">
        <v>176.53</v>
      </c>
      <c r="D384" s="6">
        <v>1.0311999999999999</v>
      </c>
      <c r="E384" s="6">
        <v>1.2558</v>
      </c>
      <c r="F384" s="1"/>
    </row>
    <row r="385" spans="1:6" x14ac:dyDescent="0.2">
      <c r="A385" s="1"/>
      <c r="B385" s="4">
        <v>37834</v>
      </c>
      <c r="C385" s="5">
        <v>177.5</v>
      </c>
      <c r="D385" s="6">
        <v>0.98629999999999995</v>
      </c>
      <c r="E385" s="6">
        <v>1.0985</v>
      </c>
      <c r="F385" s="1"/>
    </row>
    <row r="386" spans="1:6" x14ac:dyDescent="0.2">
      <c r="A386" s="1"/>
      <c r="B386" s="4">
        <v>37803</v>
      </c>
      <c r="C386" s="5">
        <v>177.5</v>
      </c>
      <c r="D386" s="6">
        <v>0.96640000000000004</v>
      </c>
      <c r="E386" s="6">
        <v>1.0238</v>
      </c>
      <c r="F386" s="1"/>
    </row>
    <row r="387" spans="1:6" x14ac:dyDescent="0.2">
      <c r="A387" s="1"/>
      <c r="B387" s="4">
        <v>37773</v>
      </c>
      <c r="C387" s="5">
        <v>188.5</v>
      </c>
      <c r="D387" s="6">
        <v>0.98850000000000005</v>
      </c>
      <c r="E387" s="6">
        <v>1.0193000000000001</v>
      </c>
      <c r="F387" s="1"/>
    </row>
    <row r="388" spans="1:6" x14ac:dyDescent="0.2">
      <c r="A388" s="1"/>
      <c r="B388" s="4">
        <v>37742</v>
      </c>
      <c r="C388" s="5">
        <v>202.5</v>
      </c>
      <c r="D388" s="6">
        <v>1.0172000000000001</v>
      </c>
      <c r="E388" s="6">
        <v>1.0649</v>
      </c>
      <c r="F388" s="1"/>
    </row>
    <row r="389" spans="1:6" x14ac:dyDescent="0.2">
      <c r="A389" s="1"/>
      <c r="B389" s="4">
        <v>37712</v>
      </c>
      <c r="C389" s="5">
        <v>207.5</v>
      </c>
      <c r="D389" s="6">
        <v>1.1281000000000001</v>
      </c>
      <c r="E389" s="6">
        <v>1.1596</v>
      </c>
      <c r="F389" s="1"/>
    </row>
    <row r="390" spans="1:6" x14ac:dyDescent="0.2">
      <c r="A390" s="1"/>
      <c r="B390" s="4">
        <v>37681</v>
      </c>
      <c r="C390" s="5">
        <v>209.38</v>
      </c>
      <c r="D390" s="6">
        <v>1.3384</v>
      </c>
      <c r="E390" s="6">
        <v>1.2024999999999999</v>
      </c>
      <c r="F390" s="1"/>
    </row>
    <row r="391" spans="1:6" x14ac:dyDescent="0.2">
      <c r="A391" s="1"/>
      <c r="B391" s="4">
        <v>37653</v>
      </c>
      <c r="C391" s="5">
        <v>207.78</v>
      </c>
      <c r="D391" s="6">
        <v>1.1194999999999999</v>
      </c>
      <c r="E391" s="6">
        <v>1.0989</v>
      </c>
      <c r="F391" s="1"/>
    </row>
    <row r="392" spans="1:6" x14ac:dyDescent="0.2">
      <c r="A392" s="1"/>
      <c r="B392" s="4">
        <v>37622</v>
      </c>
      <c r="C392" s="5">
        <v>165.63</v>
      </c>
      <c r="D392" s="6">
        <v>1.125</v>
      </c>
      <c r="E392" s="6">
        <v>1.0993999999999999</v>
      </c>
      <c r="F392" s="1"/>
    </row>
    <row r="393" spans="1:6" x14ac:dyDescent="0.2">
      <c r="A393" s="1"/>
      <c r="B393" s="4">
        <v>37591</v>
      </c>
      <c r="C393" s="5">
        <v>165</v>
      </c>
      <c r="D393" s="6">
        <v>0.9677</v>
      </c>
      <c r="E393" s="6">
        <v>0.90200000000000002</v>
      </c>
      <c r="F393" s="1"/>
    </row>
    <row r="394" spans="1:6" x14ac:dyDescent="0.2">
      <c r="A394" s="1"/>
      <c r="B394" s="4">
        <v>37561</v>
      </c>
      <c r="C394" s="5">
        <v>170</v>
      </c>
      <c r="D394" s="6">
        <v>1.0632999999999999</v>
      </c>
      <c r="E394" s="6">
        <v>1.0172000000000001</v>
      </c>
      <c r="F394" s="1"/>
    </row>
    <row r="395" spans="1:6" x14ac:dyDescent="0.2">
      <c r="A395" s="1"/>
      <c r="B395" s="4">
        <v>37530</v>
      </c>
      <c r="C395" s="5">
        <v>180</v>
      </c>
      <c r="D395" s="6">
        <v>1.0306</v>
      </c>
      <c r="E395" s="6">
        <v>0.99829999999999997</v>
      </c>
      <c r="F395" s="1"/>
    </row>
    <row r="396" spans="1:6" x14ac:dyDescent="0.2">
      <c r="A396" s="1"/>
      <c r="B396" s="4">
        <v>37500</v>
      </c>
      <c r="C396" s="5">
        <v>178.57</v>
      </c>
      <c r="D396" s="6">
        <v>0.99229999999999996</v>
      </c>
      <c r="E396" s="6">
        <v>0.99109999999999998</v>
      </c>
      <c r="F396" s="1"/>
    </row>
    <row r="397" spans="1:6" x14ac:dyDescent="0.2">
      <c r="A397" s="1"/>
      <c r="B397" s="4">
        <v>37469</v>
      </c>
      <c r="C397" s="5">
        <v>183.57</v>
      </c>
      <c r="D397" s="6">
        <v>0.88919999999999999</v>
      </c>
      <c r="E397" s="6">
        <v>0.97289999999999999</v>
      </c>
      <c r="F397" s="1"/>
    </row>
    <row r="398" spans="1:6" x14ac:dyDescent="0.2">
      <c r="A398" s="1"/>
      <c r="B398" s="4">
        <v>37438</v>
      </c>
      <c r="C398" s="5">
        <v>184.29</v>
      </c>
      <c r="D398" s="6">
        <v>0.86570000000000003</v>
      </c>
      <c r="E398" s="6">
        <v>0.95879999999999999</v>
      </c>
      <c r="F398" s="1"/>
    </row>
    <row r="399" spans="1:6" x14ac:dyDescent="0.2">
      <c r="A399" s="1"/>
      <c r="B399" s="4">
        <v>37408</v>
      </c>
      <c r="C399" s="5">
        <v>178</v>
      </c>
      <c r="D399" s="6">
        <v>0.89049999999999996</v>
      </c>
      <c r="E399" s="6">
        <v>0.98480000000000001</v>
      </c>
      <c r="F399" s="1"/>
    </row>
    <row r="400" spans="1:6" x14ac:dyDescent="0.2">
      <c r="A400" s="1"/>
      <c r="B400" s="4">
        <v>37377</v>
      </c>
      <c r="C400" s="5">
        <v>171.43</v>
      </c>
      <c r="D400" s="6">
        <v>0.89090000000000003</v>
      </c>
      <c r="E400" s="6">
        <v>0.96919999999999995</v>
      </c>
      <c r="F400" s="1"/>
    </row>
    <row r="401" spans="1:6" x14ac:dyDescent="0.2">
      <c r="A401" s="1"/>
      <c r="B401" s="4">
        <v>37347</v>
      </c>
      <c r="C401" s="5">
        <v>145.71</v>
      </c>
      <c r="D401" s="6">
        <v>0.88480000000000003</v>
      </c>
      <c r="E401" s="6">
        <v>0.96909999999999996</v>
      </c>
      <c r="F401" s="1"/>
    </row>
    <row r="402" spans="1:6" x14ac:dyDescent="0.2">
      <c r="A402" s="1"/>
      <c r="B402" s="4">
        <v>37316</v>
      </c>
      <c r="C402" s="5">
        <v>137.86000000000001</v>
      </c>
      <c r="D402" s="6">
        <v>0.74709999999999999</v>
      </c>
      <c r="E402" s="6">
        <v>0.74080000000000001</v>
      </c>
      <c r="F402" s="1"/>
    </row>
    <row r="403" spans="1:6" x14ac:dyDescent="0.2">
      <c r="A403" s="1"/>
      <c r="B403" s="4">
        <v>37288</v>
      </c>
      <c r="C403" s="5">
        <v>130.71</v>
      </c>
      <c r="D403" s="6">
        <v>0.73360000000000003</v>
      </c>
      <c r="E403" s="6">
        <v>0.73860000000000003</v>
      </c>
      <c r="F403" s="1"/>
    </row>
    <row r="404" spans="1:6" x14ac:dyDescent="0.2">
      <c r="A404" s="1"/>
      <c r="B404" s="4">
        <v>37257</v>
      </c>
      <c r="C404" s="5">
        <v>131.43</v>
      </c>
      <c r="D404" s="6">
        <v>0.79459999999999997</v>
      </c>
      <c r="E404" s="6">
        <v>0.78120000000000001</v>
      </c>
      <c r="F404" s="1"/>
    </row>
    <row r="405" spans="1:6" x14ac:dyDescent="0.2">
      <c r="A405" s="1"/>
      <c r="B405" s="4">
        <v>37226</v>
      </c>
      <c r="C405" s="5">
        <v>131.29</v>
      </c>
      <c r="D405" s="6">
        <v>0.73460000000000003</v>
      </c>
      <c r="E405" s="6">
        <v>0.70499999999999996</v>
      </c>
      <c r="F405" s="1"/>
    </row>
    <row r="406" spans="1:6" x14ac:dyDescent="0.2">
      <c r="A406" s="1"/>
      <c r="B406" s="4">
        <v>37196</v>
      </c>
      <c r="C406" s="5">
        <v>129.13999999999999</v>
      </c>
      <c r="D406" s="6">
        <v>0.85209999999999997</v>
      </c>
      <c r="E406" s="6">
        <v>0.78859999999999997</v>
      </c>
      <c r="F406" s="1"/>
    </row>
    <row r="407" spans="1:6" x14ac:dyDescent="0.2">
      <c r="A407" s="1"/>
      <c r="B407" s="4">
        <v>37165</v>
      </c>
      <c r="C407" s="5">
        <v>129.86000000000001</v>
      </c>
      <c r="D407" s="6">
        <v>0.92130000000000001</v>
      </c>
      <c r="E407" s="6">
        <v>0.97619999999999996</v>
      </c>
      <c r="F407" s="1"/>
    </row>
    <row r="408" spans="1:6" x14ac:dyDescent="0.2">
      <c r="A408" s="1"/>
      <c r="B408" s="4">
        <v>37135</v>
      </c>
      <c r="C408" s="5">
        <v>129.86000000000001</v>
      </c>
      <c r="D408" s="6">
        <v>0.9546</v>
      </c>
      <c r="E408" s="6">
        <v>0.99619999999999997</v>
      </c>
      <c r="F408" s="1"/>
    </row>
    <row r="409" spans="1:6" x14ac:dyDescent="0.2">
      <c r="A409" s="1"/>
      <c r="B409" s="4">
        <v>37104</v>
      </c>
      <c r="C409" s="5">
        <v>130</v>
      </c>
      <c r="D409" s="6">
        <v>0.93169999999999997</v>
      </c>
      <c r="E409" s="6">
        <v>0.92530000000000001</v>
      </c>
      <c r="F409" s="1"/>
    </row>
    <row r="410" spans="1:6" x14ac:dyDescent="0.2">
      <c r="A410" s="1"/>
      <c r="B410" s="4">
        <v>37073</v>
      </c>
      <c r="C410" s="5">
        <v>128.57</v>
      </c>
      <c r="D410" s="6">
        <v>0.98299999999999998</v>
      </c>
      <c r="E410" s="6">
        <v>0.9456</v>
      </c>
      <c r="F410" s="1"/>
    </row>
    <row r="411" spans="1:6" x14ac:dyDescent="0.2">
      <c r="A411" s="1"/>
      <c r="B411" s="4">
        <v>37043</v>
      </c>
      <c r="C411" s="5">
        <v>130.57</v>
      </c>
      <c r="D411" s="6">
        <v>1.0730999999999999</v>
      </c>
      <c r="E411" s="6">
        <v>1.2225999999999999</v>
      </c>
      <c r="F411" s="1"/>
    </row>
    <row r="412" spans="1:6" x14ac:dyDescent="0.2">
      <c r="A412" s="1"/>
      <c r="B412" s="4">
        <v>37012</v>
      </c>
      <c r="C412" s="5">
        <v>147.71</v>
      </c>
      <c r="D412" s="6">
        <v>0.98060000000000003</v>
      </c>
      <c r="E412" s="6">
        <v>1.1803999999999999</v>
      </c>
      <c r="F412" s="1"/>
    </row>
    <row r="413" spans="1:6" ht="13.5" customHeight="1" x14ac:dyDescent="0.2">
      <c r="A413" s="1"/>
      <c r="B413" s="4">
        <v>36982</v>
      </c>
      <c r="C413" s="5">
        <v>148.57</v>
      </c>
      <c r="D413" s="6">
        <v>0.92630000000000001</v>
      </c>
      <c r="E413" s="6">
        <v>1.0105999999999999</v>
      </c>
      <c r="F413" s="1"/>
    </row>
    <row r="414" spans="1:6" ht="13.5" customHeight="1" x14ac:dyDescent="0.2">
      <c r="A414" s="1"/>
      <c r="B414" s="4">
        <v>36951</v>
      </c>
      <c r="C414" s="5">
        <v>155.71</v>
      </c>
      <c r="D414" s="6">
        <v>1.0082</v>
      </c>
      <c r="E414" s="6">
        <v>1.0038</v>
      </c>
      <c r="F414" s="1"/>
    </row>
    <row r="415" spans="1:6" ht="13.5" customHeight="1" x14ac:dyDescent="0.2">
      <c r="A415" s="1"/>
      <c r="B415" s="4">
        <v>36923</v>
      </c>
      <c r="C415" s="5">
        <v>223</v>
      </c>
      <c r="D415" s="6">
        <v>1.2007000000000001</v>
      </c>
      <c r="E415" s="6">
        <v>1.0966</v>
      </c>
      <c r="F415" s="1"/>
    </row>
    <row r="416" spans="1:6" ht="13.5" customHeight="1" x14ac:dyDescent="0.2">
      <c r="A416" s="1"/>
      <c r="B416" s="4">
        <v>36892</v>
      </c>
      <c r="C416" s="5">
        <v>163</v>
      </c>
      <c r="D416" s="6">
        <v>1.0121</v>
      </c>
      <c r="E416" s="6">
        <v>0.92069999999999996</v>
      </c>
      <c r="F416" s="1"/>
    </row>
    <row r="417" spans="1:6" ht="13.5" customHeight="1" x14ac:dyDescent="0.2">
      <c r="A417" s="1"/>
      <c r="B417" s="4">
        <v>36861</v>
      </c>
      <c r="C417" s="5">
        <v>163.71</v>
      </c>
      <c r="D417" s="6">
        <v>1.284</v>
      </c>
      <c r="E417" s="6">
        <v>1.1243000000000001</v>
      </c>
      <c r="F417" s="1"/>
    </row>
    <row r="418" spans="1:6" ht="13.5" customHeight="1" x14ac:dyDescent="0.2">
      <c r="A418" s="1"/>
      <c r="B418" s="4">
        <v>36831</v>
      </c>
      <c r="C418" s="5">
        <v>166.43</v>
      </c>
      <c r="D418" s="6">
        <v>1.2009000000000001</v>
      </c>
      <c r="E418" s="6">
        <v>1.1479999999999999</v>
      </c>
      <c r="F418" s="1"/>
    </row>
    <row r="419" spans="1:6" ht="13.5" customHeight="1" x14ac:dyDescent="0.2">
      <c r="A419" s="1"/>
      <c r="B419" s="4">
        <v>36800</v>
      </c>
      <c r="C419" s="5">
        <v>167.85</v>
      </c>
      <c r="D419" s="6">
        <v>1.2439</v>
      </c>
      <c r="E419" s="6">
        <v>1.1506000000000001</v>
      </c>
      <c r="F419" s="1"/>
    </row>
    <row r="420" spans="1:6" x14ac:dyDescent="0.2">
      <c r="A420" s="1"/>
      <c r="B420" s="4">
        <v>36770</v>
      </c>
      <c r="C420" s="5">
        <v>168.57</v>
      </c>
      <c r="D420" s="6">
        <v>1.1893</v>
      </c>
      <c r="E420" s="6">
        <v>1.0841000000000001</v>
      </c>
      <c r="F420" s="1"/>
    </row>
    <row r="421" spans="1:6" x14ac:dyDescent="0.2">
      <c r="A421" s="1"/>
      <c r="B421" s="4">
        <v>36739</v>
      </c>
      <c r="C421" s="5">
        <v>173.57</v>
      </c>
      <c r="D421" s="6">
        <v>0.99560000000000004</v>
      </c>
      <c r="E421" s="6">
        <v>0.97489999999999999</v>
      </c>
      <c r="F421" s="1"/>
    </row>
    <row r="422" spans="1:6" x14ac:dyDescent="0.2">
      <c r="A422" s="60"/>
      <c r="B422" s="4">
        <v>36708</v>
      </c>
      <c r="C422" s="5">
        <v>171</v>
      </c>
      <c r="D422" s="6">
        <v>1.0096000000000001</v>
      </c>
      <c r="E422" s="6">
        <v>1.2042999999999999</v>
      </c>
      <c r="F422" s="60"/>
    </row>
    <row r="423" spans="1:6" x14ac:dyDescent="0.2">
      <c r="B423" s="59"/>
      <c r="C423" s="59"/>
      <c r="D423" s="59"/>
      <c r="E423" s="59"/>
    </row>
    <row r="424" spans="1:6" x14ac:dyDescent="0.2">
      <c r="D424" s="70"/>
    </row>
  </sheetData>
  <sheetProtection algorithmName="SHA-512" hashValue="sfevrJgmp5TFEqAosS67gVLm4RoasGct7wAZMO+fihJO/fOYdpcVvubfT5ucKTcwcpQ514EAY/VIlJ38gE/w8w==" saltValue="OjGaS1CH7D9FnzY+0AU/zg==" spinCount="100000" sheet="1" objects="1" scenarios="1"/>
  <sortState xmlns:xlrd2="http://schemas.microsoft.com/office/spreadsheetml/2017/richdata2" ref="B34:E355">
    <sortCondition descending="1" ref="B34:B355"/>
  </sortState>
  <mergeCells count="1">
    <mergeCell ref="B2:E2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110"/>
  <sheetViews>
    <sheetView workbookViewId="0">
      <selection activeCell="L25" sqref="L25"/>
    </sheetView>
  </sheetViews>
  <sheetFormatPr defaultRowHeight="12.75" x14ac:dyDescent="0.2"/>
  <cols>
    <col min="3" max="4" width="9.7109375" customWidth="1"/>
    <col min="5" max="7" width="11.7109375" customWidth="1"/>
  </cols>
  <sheetData>
    <row r="1" spans="1:9" x14ac:dyDescent="0.2">
      <c r="A1" s="9"/>
      <c r="B1" s="10"/>
      <c r="C1" s="10"/>
      <c r="D1" s="10"/>
      <c r="E1" s="10"/>
      <c r="F1" s="10"/>
      <c r="G1" s="10"/>
      <c r="H1" s="9"/>
      <c r="I1" s="9"/>
    </row>
    <row r="2" spans="1:9" ht="13.5" thickBot="1" x14ac:dyDescent="0.25">
      <c r="A2" s="9"/>
      <c r="B2" s="10"/>
      <c r="C2" s="10"/>
      <c r="D2" s="10"/>
      <c r="E2" s="10"/>
      <c r="F2" s="10"/>
      <c r="G2" s="10"/>
      <c r="H2" s="9"/>
      <c r="I2" s="9"/>
    </row>
    <row r="3" spans="1:9" ht="15.75" x14ac:dyDescent="0.25">
      <c r="A3" s="9"/>
      <c r="B3" s="161" t="s">
        <v>49</v>
      </c>
      <c r="C3" s="162"/>
      <c r="D3" s="162"/>
      <c r="E3" s="162"/>
      <c r="F3" s="162"/>
      <c r="G3" s="163"/>
      <c r="H3" s="9"/>
      <c r="I3" s="9"/>
    </row>
    <row r="4" spans="1:9" x14ac:dyDescent="0.2">
      <c r="A4" s="9"/>
      <c r="B4" s="11"/>
      <c r="C4" s="2"/>
      <c r="D4" s="2"/>
      <c r="E4" s="2"/>
      <c r="F4" s="2"/>
      <c r="G4" s="12"/>
      <c r="H4" s="9"/>
      <c r="I4" s="9"/>
    </row>
    <row r="5" spans="1:9" x14ac:dyDescent="0.2">
      <c r="A5" s="9"/>
      <c r="B5" s="11"/>
      <c r="C5" s="164" t="s">
        <v>50</v>
      </c>
      <c r="D5" s="165"/>
      <c r="E5" s="13">
        <f>DieselBase</f>
        <v>4.4624442499999999</v>
      </c>
      <c r="F5" s="2"/>
      <c r="G5" s="12"/>
      <c r="H5" s="9"/>
      <c r="I5" s="9"/>
    </row>
    <row r="6" spans="1:9" x14ac:dyDescent="0.2">
      <c r="A6" s="9"/>
      <c r="B6" s="11"/>
      <c r="C6" s="166" t="s">
        <v>51</v>
      </c>
      <c r="D6" s="167"/>
      <c r="E6" s="14">
        <f>DieselCurrent</f>
        <v>4.4624442499999999</v>
      </c>
      <c r="F6" s="2"/>
      <c r="G6" s="12"/>
      <c r="H6" s="9"/>
      <c r="I6" s="9"/>
    </row>
    <row r="7" spans="1:9" x14ac:dyDescent="0.2">
      <c r="A7" s="9"/>
      <c r="B7" s="11"/>
      <c r="C7" s="168" t="s">
        <v>52</v>
      </c>
      <c r="D7" s="169"/>
      <c r="E7" s="15">
        <f>VLOOKUP(E6,E12:G51,3)</f>
        <v>0</v>
      </c>
      <c r="F7" s="2"/>
      <c r="G7" s="12"/>
      <c r="H7" s="9"/>
      <c r="I7" s="9"/>
    </row>
    <row r="8" spans="1:9" x14ac:dyDescent="0.2">
      <c r="A8" s="9"/>
      <c r="B8" s="11"/>
      <c r="C8" s="2"/>
      <c r="D8" s="2"/>
      <c r="E8" s="2"/>
      <c r="F8" s="2"/>
      <c r="G8" s="12"/>
      <c r="H8" s="9"/>
      <c r="I8" s="9"/>
    </row>
    <row r="9" spans="1:9" x14ac:dyDescent="0.2">
      <c r="A9" s="9"/>
      <c r="B9" s="11"/>
      <c r="C9" s="2"/>
      <c r="D9" s="2"/>
      <c r="E9" s="2"/>
      <c r="F9" s="2"/>
      <c r="G9" s="12"/>
      <c r="H9" s="9"/>
      <c r="I9" s="9"/>
    </row>
    <row r="10" spans="1:9" x14ac:dyDescent="0.2">
      <c r="A10" s="9"/>
      <c r="B10" s="11"/>
      <c r="C10" s="2"/>
      <c r="D10" s="2"/>
      <c r="E10" s="2"/>
      <c r="F10" s="2"/>
      <c r="G10" s="12"/>
      <c r="H10" s="9"/>
      <c r="I10" s="9"/>
    </row>
    <row r="11" spans="1:9" ht="13.5" thickBot="1" x14ac:dyDescent="0.25">
      <c r="A11" s="9"/>
      <c r="B11" s="11"/>
      <c r="C11" s="2"/>
      <c r="D11" s="2"/>
      <c r="E11" s="2"/>
      <c r="F11" s="2"/>
      <c r="G11" s="12"/>
      <c r="H11" s="9"/>
      <c r="I11" s="9"/>
    </row>
    <row r="12" spans="1:9" x14ac:dyDescent="0.2">
      <c r="A12" s="9"/>
      <c r="B12" s="170" t="s">
        <v>53</v>
      </c>
      <c r="C12" s="47">
        <v>90</v>
      </c>
      <c r="D12" s="16">
        <v>100</v>
      </c>
      <c r="E12" s="36">
        <f>0*DieselBase</f>
        <v>0</v>
      </c>
      <c r="F12" s="17">
        <f>0.1*DieselBase-0.0001</f>
        <v>0.44614442500000001</v>
      </c>
      <c r="G12" s="18">
        <f>-0.9*DieselBase</f>
        <v>-4.0161998250000002</v>
      </c>
      <c r="H12" s="9"/>
      <c r="I12" s="9"/>
    </row>
    <row r="13" spans="1:9" x14ac:dyDescent="0.2">
      <c r="A13" s="9"/>
      <c r="B13" s="171"/>
      <c r="C13" s="48">
        <v>80</v>
      </c>
      <c r="D13" s="19">
        <v>90</v>
      </c>
      <c r="E13" s="38">
        <f>0.1*DieselBase</f>
        <v>0.446244425</v>
      </c>
      <c r="F13" s="20">
        <f>0.2*DieselBase-0.0001</f>
        <v>0.89238885000000001</v>
      </c>
      <c r="G13" s="21">
        <f>-0.8*DieselBase</f>
        <v>-3.5699554</v>
      </c>
      <c r="H13" s="9"/>
      <c r="I13" s="9"/>
    </row>
    <row r="14" spans="1:9" x14ac:dyDescent="0.2">
      <c r="A14" s="9"/>
      <c r="B14" s="171"/>
      <c r="C14" s="48">
        <v>70</v>
      </c>
      <c r="D14" s="19">
        <v>80</v>
      </c>
      <c r="E14" s="38">
        <f>0.2*DieselBase</f>
        <v>0.89248885</v>
      </c>
      <c r="F14" s="20">
        <f>0.3*DieselBase-0.0001</f>
        <v>1.3386332749999998</v>
      </c>
      <c r="G14" s="21">
        <f>-0.7*DieselBase</f>
        <v>-3.1237109749999998</v>
      </c>
      <c r="H14" s="9"/>
      <c r="I14" s="9"/>
    </row>
    <row r="15" spans="1:9" x14ac:dyDescent="0.2">
      <c r="A15" s="9"/>
      <c r="B15" s="171"/>
      <c r="C15" s="48">
        <v>60</v>
      </c>
      <c r="D15" s="19">
        <v>70</v>
      </c>
      <c r="E15" s="38">
        <f>0.3*DieselBase</f>
        <v>1.3387332749999998</v>
      </c>
      <c r="F15" s="20">
        <f>0.4*DieselBase-0.0001</f>
        <v>1.7848777</v>
      </c>
      <c r="G15" s="21">
        <f>-0.6*DieselBase</f>
        <v>-2.6774665499999997</v>
      </c>
      <c r="H15" s="9"/>
      <c r="I15" s="9"/>
    </row>
    <row r="16" spans="1:9" x14ac:dyDescent="0.2">
      <c r="A16" s="9"/>
      <c r="B16" s="171"/>
      <c r="C16" s="48">
        <v>50</v>
      </c>
      <c r="D16" s="19">
        <v>60</v>
      </c>
      <c r="E16" s="38">
        <f>0.4*DieselBase</f>
        <v>1.7849777</v>
      </c>
      <c r="F16" s="20">
        <f>0.5*DieselBase-0.0001</f>
        <v>2.2311221249999997</v>
      </c>
      <c r="G16" s="21">
        <f>-0.5*DieselBase</f>
        <v>-2.2312221249999999</v>
      </c>
      <c r="H16" s="9"/>
      <c r="I16" s="9"/>
    </row>
    <row r="17" spans="1:9" x14ac:dyDescent="0.2">
      <c r="A17" s="9"/>
      <c r="B17" s="171"/>
      <c r="C17" s="48">
        <v>40</v>
      </c>
      <c r="D17" s="19">
        <v>50</v>
      </c>
      <c r="E17" s="38">
        <f>0.5*DieselBase</f>
        <v>2.2312221249999999</v>
      </c>
      <c r="F17" s="20">
        <f>0.6*DieselBase-0.0001</f>
        <v>2.6773665499999995</v>
      </c>
      <c r="G17" s="21">
        <f>-0.4*DieselBase</f>
        <v>-1.7849777</v>
      </c>
      <c r="H17" s="9"/>
      <c r="I17" s="9"/>
    </row>
    <row r="18" spans="1:9" x14ac:dyDescent="0.2">
      <c r="A18" s="9"/>
      <c r="B18" s="171"/>
      <c r="C18" s="48">
        <v>30</v>
      </c>
      <c r="D18" s="19">
        <v>40</v>
      </c>
      <c r="E18" s="38">
        <f>0.6*DieselBase</f>
        <v>2.6774665499999997</v>
      </c>
      <c r="F18" s="20">
        <f>0.7*DieselBase-0.0001</f>
        <v>3.1236109749999996</v>
      </c>
      <c r="G18" s="21">
        <f>-0.3*DieselBase</f>
        <v>-1.3387332749999998</v>
      </c>
      <c r="H18" s="9"/>
      <c r="I18" s="9"/>
    </row>
    <row r="19" spans="1:9" x14ac:dyDescent="0.2">
      <c r="A19" s="9"/>
      <c r="B19" s="171"/>
      <c r="C19" s="48">
        <v>20</v>
      </c>
      <c r="D19" s="19">
        <v>30</v>
      </c>
      <c r="E19" s="38">
        <f>0.7*DieselBase</f>
        <v>3.1237109749999998</v>
      </c>
      <c r="F19" s="20">
        <f>0.8*DieselBase-0.0001</f>
        <v>3.5698553999999998</v>
      </c>
      <c r="G19" s="21">
        <f>-0.2*DieselBase</f>
        <v>-0.89248885</v>
      </c>
      <c r="H19" s="9"/>
      <c r="I19" s="9"/>
    </row>
    <row r="20" spans="1:9" x14ac:dyDescent="0.2">
      <c r="A20" s="9"/>
      <c r="B20" s="171"/>
      <c r="C20" s="48">
        <v>10</v>
      </c>
      <c r="D20" s="19">
        <v>20</v>
      </c>
      <c r="E20" s="38">
        <f>0.8*DieselBase</f>
        <v>3.5699554</v>
      </c>
      <c r="F20" s="20">
        <f>0.9*DieselBase-0.0001</f>
        <v>4.0160998250000004</v>
      </c>
      <c r="G20" s="21">
        <f>-0.1*DieselBase</f>
        <v>-0.446244425</v>
      </c>
      <c r="H20" s="9"/>
      <c r="I20" s="9"/>
    </row>
    <row r="21" spans="1:9" x14ac:dyDescent="0.2">
      <c r="A21" s="9"/>
      <c r="B21" s="175"/>
      <c r="C21" s="49">
        <v>0</v>
      </c>
      <c r="D21" s="39">
        <v>10</v>
      </c>
      <c r="E21" s="40">
        <f>0.9*DieselBase</f>
        <v>4.0161998250000002</v>
      </c>
      <c r="F21" s="41">
        <f>1*DieselBase-0.0001</f>
        <v>4.4623442500000001</v>
      </c>
      <c r="G21" s="42">
        <f>0*DieselBase</f>
        <v>0</v>
      </c>
      <c r="H21" s="9"/>
      <c r="I21" s="9"/>
    </row>
    <row r="22" spans="1:9" x14ac:dyDescent="0.2">
      <c r="A22" s="9"/>
      <c r="B22" s="176" t="s">
        <v>54</v>
      </c>
      <c r="C22" s="50">
        <v>0</v>
      </c>
      <c r="D22" s="43">
        <v>10</v>
      </c>
      <c r="E22" s="44">
        <f>1*DieselBase</f>
        <v>4.4624442499999999</v>
      </c>
      <c r="F22" s="45">
        <f>1.1*DieselBase</f>
        <v>4.9086886750000005</v>
      </c>
      <c r="G22" s="46">
        <f>0*DieselBase</f>
        <v>0</v>
      </c>
      <c r="H22" s="9"/>
      <c r="I22" s="9"/>
    </row>
    <row r="23" spans="1:9" x14ac:dyDescent="0.2">
      <c r="A23" s="9"/>
      <c r="B23" s="171"/>
      <c r="C23" s="48">
        <v>10</v>
      </c>
      <c r="D23" s="19">
        <v>20</v>
      </c>
      <c r="E23" s="37">
        <f>1.1*DieselBase+0.0001</f>
        <v>4.9087886750000003</v>
      </c>
      <c r="F23" s="20">
        <f>1.2*DieselBase</f>
        <v>5.3549330999999993</v>
      </c>
      <c r="G23" s="21">
        <f>0.1*DieselBase</f>
        <v>0.446244425</v>
      </c>
      <c r="H23" s="9"/>
      <c r="I23" s="9"/>
    </row>
    <row r="24" spans="1:9" x14ac:dyDescent="0.2">
      <c r="A24" s="9"/>
      <c r="B24" s="171"/>
      <c r="C24" s="48">
        <v>20</v>
      </c>
      <c r="D24" s="19">
        <v>30</v>
      </c>
      <c r="E24" s="37">
        <f>1.2*DieselBase+0.0001</f>
        <v>5.3550330999999991</v>
      </c>
      <c r="F24" s="20">
        <f>1.3*DieselBase</f>
        <v>5.8011775249999999</v>
      </c>
      <c r="G24" s="21">
        <f>0.2*DieselBase</f>
        <v>0.89248885</v>
      </c>
      <c r="H24" s="9"/>
      <c r="I24" s="9"/>
    </row>
    <row r="25" spans="1:9" x14ac:dyDescent="0.2">
      <c r="A25" s="9"/>
      <c r="B25" s="171"/>
      <c r="C25" s="48">
        <v>30</v>
      </c>
      <c r="D25" s="19">
        <v>40</v>
      </c>
      <c r="E25" s="37">
        <f>1.3*DieselBase+0.0001</f>
        <v>5.8012775249999997</v>
      </c>
      <c r="F25" s="20">
        <f>1.4*DieselBase</f>
        <v>6.2474219499999997</v>
      </c>
      <c r="G25" s="21">
        <f>0.3*DieselBase</f>
        <v>1.3387332749999998</v>
      </c>
      <c r="H25" s="9"/>
      <c r="I25" s="9"/>
    </row>
    <row r="26" spans="1:9" x14ac:dyDescent="0.2">
      <c r="A26" s="9"/>
      <c r="B26" s="171"/>
      <c r="C26" s="48">
        <v>40</v>
      </c>
      <c r="D26" s="19">
        <v>50</v>
      </c>
      <c r="E26" s="37">
        <f>1.4*DieselBase+0.0001</f>
        <v>6.2475219499999994</v>
      </c>
      <c r="F26" s="20">
        <f>1.5*DieselBase</f>
        <v>6.6936663749999994</v>
      </c>
      <c r="G26" s="21">
        <f>0.4*DieselBase</f>
        <v>1.7849777</v>
      </c>
      <c r="H26" s="9"/>
      <c r="I26" s="9"/>
    </row>
    <row r="27" spans="1:9" x14ac:dyDescent="0.2">
      <c r="A27" s="9"/>
      <c r="B27" s="171"/>
      <c r="C27" s="48">
        <v>50</v>
      </c>
      <c r="D27" s="19">
        <v>60</v>
      </c>
      <c r="E27" s="37">
        <f>1.5*DieselBase+0.0001</f>
        <v>6.6937663749999992</v>
      </c>
      <c r="F27" s="20">
        <f>1.6*DieselBase</f>
        <v>7.1399108</v>
      </c>
      <c r="G27" s="21">
        <f>0.5*DieselBase</f>
        <v>2.2312221249999999</v>
      </c>
      <c r="H27" s="9"/>
      <c r="I27" s="9"/>
    </row>
    <row r="28" spans="1:9" x14ac:dyDescent="0.2">
      <c r="A28" s="9"/>
      <c r="B28" s="171"/>
      <c r="C28" s="48">
        <v>60</v>
      </c>
      <c r="D28" s="19">
        <v>70</v>
      </c>
      <c r="E28" s="37">
        <f>1.6*DieselBase+0.0001</f>
        <v>7.1400107999999998</v>
      </c>
      <c r="F28" s="20">
        <f>1.7*DieselBase</f>
        <v>7.5861552249999997</v>
      </c>
      <c r="G28" s="21">
        <f>0.6*DieselBase</f>
        <v>2.6774665499999997</v>
      </c>
      <c r="H28" s="9"/>
      <c r="I28" s="9"/>
    </row>
    <row r="29" spans="1:9" x14ac:dyDescent="0.2">
      <c r="A29" s="9"/>
      <c r="B29" s="171"/>
      <c r="C29" s="48">
        <v>70</v>
      </c>
      <c r="D29" s="19">
        <v>80</v>
      </c>
      <c r="E29" s="37">
        <f>1.7*DieselBase+0.0001</f>
        <v>7.5862552249999995</v>
      </c>
      <c r="F29" s="20">
        <f>1.8*DieselBase</f>
        <v>8.0323996500000003</v>
      </c>
      <c r="G29" s="21">
        <f>0.7*DieselBase</f>
        <v>3.1237109749999998</v>
      </c>
      <c r="H29" s="9"/>
      <c r="I29" s="9"/>
    </row>
    <row r="30" spans="1:9" x14ac:dyDescent="0.2">
      <c r="A30" s="9"/>
      <c r="B30" s="171"/>
      <c r="C30" s="48">
        <v>80</v>
      </c>
      <c r="D30" s="19">
        <v>90</v>
      </c>
      <c r="E30" s="37">
        <f>1.8*DieselBase+0.0001</f>
        <v>8.0324996500000001</v>
      </c>
      <c r="F30" s="20">
        <f>1.9*DieselBase</f>
        <v>8.4786440750000001</v>
      </c>
      <c r="G30" s="21">
        <f>0.8*DieselBase</f>
        <v>3.5699554</v>
      </c>
      <c r="H30" s="9"/>
      <c r="I30" s="9"/>
    </row>
    <row r="31" spans="1:9" x14ac:dyDescent="0.2">
      <c r="A31" s="9"/>
      <c r="B31" s="171"/>
      <c r="C31" s="48">
        <v>90</v>
      </c>
      <c r="D31" s="19">
        <v>100</v>
      </c>
      <c r="E31" s="37">
        <f>1.9*DieselBase+0.0001</f>
        <v>8.4787440749999998</v>
      </c>
      <c r="F31" s="20">
        <f>2*DieselBase</f>
        <v>8.9248884999999998</v>
      </c>
      <c r="G31" s="21">
        <f>0.9*DieselBase</f>
        <v>4.0161998250000002</v>
      </c>
      <c r="H31" s="9"/>
      <c r="I31" s="9"/>
    </row>
    <row r="32" spans="1:9" x14ac:dyDescent="0.2">
      <c r="A32" s="9"/>
      <c r="B32" s="171"/>
      <c r="C32" s="48">
        <v>100</v>
      </c>
      <c r="D32" s="19">
        <v>110</v>
      </c>
      <c r="E32" s="37">
        <f>2*DieselBase+0.0001</f>
        <v>8.9249884999999995</v>
      </c>
      <c r="F32" s="20">
        <f>2.1*DieselBase</f>
        <v>9.3711329249999995</v>
      </c>
      <c r="G32" s="21">
        <f>1*DieselBase</f>
        <v>4.4624442499999999</v>
      </c>
      <c r="H32" s="9"/>
      <c r="I32" s="9"/>
    </row>
    <row r="33" spans="1:9" x14ac:dyDescent="0.2">
      <c r="A33" s="9"/>
      <c r="B33" s="171"/>
      <c r="C33" s="48">
        <v>110</v>
      </c>
      <c r="D33" s="19">
        <v>120</v>
      </c>
      <c r="E33" s="37">
        <f>2.1*DieselBase+0.0001</f>
        <v>9.3712329249999993</v>
      </c>
      <c r="F33" s="20">
        <f>2.2*DieselBase</f>
        <v>9.817377350000001</v>
      </c>
      <c r="G33" s="21">
        <f>1.1*DieselBase</f>
        <v>4.9086886750000005</v>
      </c>
      <c r="H33" s="9"/>
      <c r="I33" s="9"/>
    </row>
    <row r="34" spans="1:9" x14ac:dyDescent="0.2">
      <c r="A34" s="9"/>
      <c r="B34" s="171"/>
      <c r="C34" s="48">
        <v>120</v>
      </c>
      <c r="D34" s="19">
        <v>130</v>
      </c>
      <c r="E34" s="37">
        <f>2.2*DieselBase+0.0001</f>
        <v>9.8174773500000008</v>
      </c>
      <c r="F34" s="20">
        <f>2.3*DieselBase</f>
        <v>10.263621774999999</v>
      </c>
      <c r="G34" s="21">
        <f>1.2*DieselBase</f>
        <v>5.3549330999999993</v>
      </c>
      <c r="H34" s="9"/>
      <c r="I34" s="9"/>
    </row>
    <row r="35" spans="1:9" x14ac:dyDescent="0.2">
      <c r="A35" s="9"/>
      <c r="B35" s="171"/>
      <c r="C35" s="48">
        <v>130</v>
      </c>
      <c r="D35" s="19">
        <v>140</v>
      </c>
      <c r="E35" s="37">
        <f>2.3*DieselBase+0.0001</f>
        <v>10.263721774999999</v>
      </c>
      <c r="F35" s="20">
        <f>2.4*DieselBase</f>
        <v>10.709866199999999</v>
      </c>
      <c r="G35" s="21">
        <f>1.3*DieselBase</f>
        <v>5.8011775249999999</v>
      </c>
      <c r="H35" s="9"/>
      <c r="I35" s="9"/>
    </row>
    <row r="36" spans="1:9" x14ac:dyDescent="0.2">
      <c r="A36" s="9"/>
      <c r="B36" s="171"/>
      <c r="C36" s="48">
        <v>140</v>
      </c>
      <c r="D36" s="19">
        <v>150</v>
      </c>
      <c r="E36" s="37">
        <f>2.4*DieselBase+0.0001</f>
        <v>10.709966199999998</v>
      </c>
      <c r="F36" s="20">
        <f>2.5*DieselBase</f>
        <v>11.156110625</v>
      </c>
      <c r="G36" s="21">
        <f>1.4*DieselBase</f>
        <v>6.2474219499999997</v>
      </c>
      <c r="H36" s="9"/>
      <c r="I36" s="9"/>
    </row>
    <row r="37" spans="1:9" x14ac:dyDescent="0.2">
      <c r="A37" s="9"/>
      <c r="B37" s="171"/>
      <c r="C37" s="48">
        <v>150</v>
      </c>
      <c r="D37" s="19">
        <v>160</v>
      </c>
      <c r="E37" s="37">
        <f>2.5*DieselBase+0.0001</f>
        <v>11.156210625</v>
      </c>
      <c r="F37" s="20">
        <f>2.6*DieselBase</f>
        <v>11.60235505</v>
      </c>
      <c r="G37" s="21">
        <f>1.5*DieselBase</f>
        <v>6.6936663749999994</v>
      </c>
      <c r="H37" s="9"/>
      <c r="I37" s="9"/>
    </row>
    <row r="38" spans="1:9" x14ac:dyDescent="0.2">
      <c r="A38" s="9"/>
      <c r="B38" s="171"/>
      <c r="C38" s="48">
        <v>160</v>
      </c>
      <c r="D38" s="19">
        <v>170</v>
      </c>
      <c r="E38" s="37">
        <f>2.6*DieselBase+0.0001</f>
        <v>11.60245505</v>
      </c>
      <c r="F38" s="20">
        <f>2.7*DieselBase</f>
        <v>12.048599475</v>
      </c>
      <c r="G38" s="21">
        <f>1.6*DieselBase</f>
        <v>7.1399108</v>
      </c>
      <c r="H38" s="9"/>
      <c r="I38" s="9"/>
    </row>
    <row r="39" spans="1:9" x14ac:dyDescent="0.2">
      <c r="A39" s="9"/>
      <c r="B39" s="171"/>
      <c r="C39" s="48">
        <v>170</v>
      </c>
      <c r="D39" s="19">
        <v>180</v>
      </c>
      <c r="E39" s="37">
        <f>2.7*DieselBase+0.0001</f>
        <v>12.048699474999999</v>
      </c>
      <c r="F39" s="20">
        <f>2.8*DieselBase</f>
        <v>12.494843899999999</v>
      </c>
      <c r="G39" s="21">
        <f>1.7*DieselBase</f>
        <v>7.5861552249999997</v>
      </c>
      <c r="H39" s="9"/>
      <c r="I39" s="9"/>
    </row>
    <row r="40" spans="1:9" x14ac:dyDescent="0.2">
      <c r="A40" s="9"/>
      <c r="B40" s="171"/>
      <c r="C40" s="48">
        <v>180</v>
      </c>
      <c r="D40" s="19">
        <v>190</v>
      </c>
      <c r="E40" s="37">
        <f>2.8*DieselBase+0.0001</f>
        <v>12.494943899999999</v>
      </c>
      <c r="F40" s="20">
        <f>2.9*DieselBase</f>
        <v>12.941088324999999</v>
      </c>
      <c r="G40" s="21">
        <f>1.8*DieselBase</f>
        <v>8.0323996500000003</v>
      </c>
      <c r="H40" s="9"/>
      <c r="I40" s="9"/>
    </row>
    <row r="41" spans="1:9" x14ac:dyDescent="0.2">
      <c r="A41" s="9"/>
      <c r="B41" s="171"/>
      <c r="C41" s="48">
        <v>190</v>
      </c>
      <c r="D41" s="19">
        <v>200</v>
      </c>
      <c r="E41" s="37">
        <f>2.9*DieselBase+0.0001</f>
        <v>12.941188324999999</v>
      </c>
      <c r="F41" s="20">
        <f>3*DieselBase</f>
        <v>13.387332749999999</v>
      </c>
      <c r="G41" s="21">
        <f>1.9*DieselBase</f>
        <v>8.4786440750000001</v>
      </c>
      <c r="H41" s="9"/>
      <c r="I41" s="9"/>
    </row>
    <row r="42" spans="1:9" x14ac:dyDescent="0.2">
      <c r="A42" s="9"/>
      <c r="B42" s="171"/>
      <c r="C42" s="48">
        <v>200</v>
      </c>
      <c r="D42" s="19">
        <v>210</v>
      </c>
      <c r="E42" s="37">
        <f>3*DieselBase+0.0001</f>
        <v>13.387432749999999</v>
      </c>
      <c r="F42" s="20">
        <f>3.1*DieselBase</f>
        <v>13.833577175</v>
      </c>
      <c r="G42" s="21">
        <f>2*DieselBase</f>
        <v>8.9248884999999998</v>
      </c>
      <c r="H42" s="9"/>
      <c r="I42" s="9"/>
    </row>
    <row r="43" spans="1:9" x14ac:dyDescent="0.2">
      <c r="A43" s="9"/>
      <c r="B43" s="171"/>
      <c r="C43" s="48">
        <v>210</v>
      </c>
      <c r="D43" s="19">
        <v>220</v>
      </c>
      <c r="E43" s="37">
        <f>3.1*DieselBase+0.0001</f>
        <v>13.833677175</v>
      </c>
      <c r="F43" s="20">
        <f>3.2*DieselBase</f>
        <v>14.2798216</v>
      </c>
      <c r="G43" s="21">
        <f>2.1*DieselBase</f>
        <v>9.3711329249999995</v>
      </c>
      <c r="H43" s="9"/>
      <c r="I43" s="9"/>
    </row>
    <row r="44" spans="1:9" x14ac:dyDescent="0.2">
      <c r="A44" s="9"/>
      <c r="B44" s="171"/>
      <c r="C44" s="48">
        <v>220</v>
      </c>
      <c r="D44" s="19">
        <v>230</v>
      </c>
      <c r="E44" s="37">
        <f>3.2*DieselBase+0.0001</f>
        <v>14.2799216</v>
      </c>
      <c r="F44" s="20">
        <f>3.3*DieselBase</f>
        <v>14.726066025</v>
      </c>
      <c r="G44" s="21">
        <f>2.2*DieselBase</f>
        <v>9.817377350000001</v>
      </c>
      <c r="H44" s="9"/>
      <c r="I44" s="9"/>
    </row>
    <row r="45" spans="1:9" x14ac:dyDescent="0.2">
      <c r="A45" s="9"/>
      <c r="B45" s="171"/>
      <c r="C45" s="48">
        <v>230</v>
      </c>
      <c r="D45" s="19">
        <v>240</v>
      </c>
      <c r="E45" s="37">
        <f>3.3*DieselBase+0.0001</f>
        <v>14.726166024999999</v>
      </c>
      <c r="F45" s="20">
        <f>3.4*DieselBase</f>
        <v>15.172310449999999</v>
      </c>
      <c r="G45" s="21">
        <f>2.3*DieselBase</f>
        <v>10.263621774999999</v>
      </c>
      <c r="H45" s="9"/>
      <c r="I45" s="9"/>
    </row>
    <row r="46" spans="1:9" x14ac:dyDescent="0.2">
      <c r="A46" s="9"/>
      <c r="B46" s="171"/>
      <c r="C46" s="48">
        <v>240</v>
      </c>
      <c r="D46" s="19">
        <v>250</v>
      </c>
      <c r="E46" s="37">
        <f>3.4*DieselBase+0.0001</f>
        <v>15.172410449999999</v>
      </c>
      <c r="F46" s="20">
        <f>3.5*DieselBase</f>
        <v>15.618554874999999</v>
      </c>
      <c r="G46" s="21">
        <f>2.4*DieselBase</f>
        <v>10.709866199999999</v>
      </c>
      <c r="H46" s="9"/>
      <c r="I46" s="9"/>
    </row>
    <row r="47" spans="1:9" x14ac:dyDescent="0.2">
      <c r="A47" s="9"/>
      <c r="B47" s="171"/>
      <c r="C47" s="48">
        <v>250</v>
      </c>
      <c r="D47" s="19">
        <v>260</v>
      </c>
      <c r="E47" s="37">
        <f>3.5*DieselBase+0.0001</f>
        <v>15.618654874999999</v>
      </c>
      <c r="F47" s="20">
        <f>3.6*DieselBase</f>
        <v>16.064799300000001</v>
      </c>
      <c r="G47" s="21">
        <f>2.5*DieselBase</f>
        <v>11.156110625</v>
      </c>
      <c r="H47" s="9"/>
      <c r="I47" s="9"/>
    </row>
    <row r="48" spans="1:9" x14ac:dyDescent="0.2">
      <c r="A48" s="9"/>
      <c r="B48" s="171"/>
      <c r="C48" s="48">
        <v>260</v>
      </c>
      <c r="D48" s="19">
        <v>270</v>
      </c>
      <c r="E48" s="37">
        <f>3.6*DieselBase+0.0001</f>
        <v>16.0648993</v>
      </c>
      <c r="F48" s="20">
        <f>3.7*DieselBase</f>
        <v>16.511043725</v>
      </c>
      <c r="G48" s="21">
        <f>2.6*DieselBase</f>
        <v>11.60235505</v>
      </c>
      <c r="H48" s="9"/>
      <c r="I48" s="9"/>
    </row>
    <row r="49" spans="1:9" x14ac:dyDescent="0.2">
      <c r="A49" s="9"/>
      <c r="B49" s="171"/>
      <c r="C49" s="48">
        <v>270</v>
      </c>
      <c r="D49" s="19">
        <v>280</v>
      </c>
      <c r="E49" s="37">
        <f>3.7*DieselBase+0.0001</f>
        <v>16.511143725</v>
      </c>
      <c r="F49" s="20">
        <f>3.8*DieselBase</f>
        <v>16.95728815</v>
      </c>
      <c r="G49" s="21">
        <f>2.7*DieselBase</f>
        <v>12.048599475</v>
      </c>
      <c r="H49" s="9"/>
      <c r="I49" s="9"/>
    </row>
    <row r="50" spans="1:9" x14ac:dyDescent="0.2">
      <c r="A50" s="9"/>
      <c r="B50" s="171"/>
      <c r="C50" s="48">
        <v>280</v>
      </c>
      <c r="D50" s="19">
        <v>290</v>
      </c>
      <c r="E50" s="37">
        <f>3.8*DieselBase+0.0001</f>
        <v>16.95738815</v>
      </c>
      <c r="F50" s="20">
        <f>3.9*DieselBase</f>
        <v>17.403532575</v>
      </c>
      <c r="G50" s="21">
        <f>2.8*DieselBase</f>
        <v>12.494843899999999</v>
      </c>
      <c r="H50" s="9"/>
      <c r="I50" s="9"/>
    </row>
    <row r="51" spans="1:9" ht="13.5" thickBot="1" x14ac:dyDescent="0.25">
      <c r="A51" s="9"/>
      <c r="B51" s="174"/>
      <c r="C51" s="51">
        <v>290</v>
      </c>
      <c r="D51" s="22">
        <v>300</v>
      </c>
      <c r="E51" s="52">
        <f>3.9*DieselBase+0.0001</f>
        <v>17.403632575</v>
      </c>
      <c r="F51" s="23">
        <f>4*DieselBase</f>
        <v>17.849777</v>
      </c>
      <c r="G51" s="24">
        <f>2.9*DieselBase</f>
        <v>12.941088324999999</v>
      </c>
      <c r="H51" s="9"/>
      <c r="I51" s="9"/>
    </row>
    <row r="52" spans="1:9" x14ac:dyDescent="0.2">
      <c r="A52" s="9"/>
      <c r="B52" s="25"/>
      <c r="C52" s="10"/>
      <c r="D52" s="10"/>
      <c r="E52" s="26"/>
      <c r="F52" s="26"/>
      <c r="G52" s="26"/>
      <c r="H52" s="9"/>
      <c r="I52" s="9"/>
    </row>
    <row r="53" spans="1:9" x14ac:dyDescent="0.2">
      <c r="A53" s="9"/>
      <c r="B53" s="25"/>
      <c r="C53" s="10"/>
      <c r="D53" s="10"/>
      <c r="E53" s="26"/>
      <c r="F53" s="26"/>
      <c r="G53" s="26"/>
      <c r="H53" s="9"/>
      <c r="I53" s="9"/>
    </row>
    <row r="54" spans="1:9" x14ac:dyDescent="0.2">
      <c r="A54" s="9"/>
      <c r="B54" s="25"/>
      <c r="C54" s="10"/>
      <c r="D54" s="10"/>
      <c r="E54" s="26"/>
      <c r="F54" s="26"/>
      <c r="G54" s="26"/>
      <c r="H54" s="9"/>
      <c r="I54" s="9"/>
    </row>
    <row r="55" spans="1:9" x14ac:dyDescent="0.2">
      <c r="A55" s="9"/>
      <c r="B55" s="25"/>
      <c r="C55" s="10"/>
      <c r="D55" s="10"/>
      <c r="E55" s="26"/>
      <c r="F55" s="26"/>
      <c r="G55" s="26"/>
      <c r="H55" s="9"/>
      <c r="I55" s="9"/>
    </row>
    <row r="56" spans="1:9" x14ac:dyDescent="0.2">
      <c r="A56" s="9"/>
      <c r="B56" s="10"/>
      <c r="C56" s="10"/>
      <c r="D56" s="10"/>
      <c r="E56" s="10"/>
      <c r="F56" s="10"/>
      <c r="G56" s="10"/>
      <c r="H56" s="9"/>
      <c r="I56" s="9"/>
    </row>
    <row r="57" spans="1:9" ht="13.5" thickBot="1" x14ac:dyDescent="0.25">
      <c r="A57" s="9"/>
      <c r="B57" s="10"/>
      <c r="C57" s="10"/>
      <c r="D57" s="10"/>
      <c r="E57" s="10"/>
      <c r="F57" s="10"/>
      <c r="G57" s="10"/>
      <c r="H57" s="9"/>
      <c r="I57" s="9"/>
    </row>
    <row r="58" spans="1:9" ht="15.75" x14ac:dyDescent="0.25">
      <c r="A58" s="9"/>
      <c r="B58" s="161" t="s">
        <v>55</v>
      </c>
      <c r="C58" s="162"/>
      <c r="D58" s="162"/>
      <c r="E58" s="162"/>
      <c r="F58" s="162"/>
      <c r="G58" s="163"/>
      <c r="H58" s="9"/>
      <c r="I58" s="9"/>
    </row>
    <row r="59" spans="1:9" x14ac:dyDescent="0.2">
      <c r="A59" s="9"/>
      <c r="B59" s="11"/>
      <c r="C59" s="2"/>
      <c r="D59" s="2"/>
      <c r="E59" s="2"/>
      <c r="F59" s="2"/>
      <c r="G59" s="12"/>
      <c r="H59" s="9"/>
      <c r="I59" s="9"/>
    </row>
    <row r="60" spans="1:9" x14ac:dyDescent="0.2">
      <c r="A60" s="9"/>
      <c r="B60" s="11"/>
      <c r="C60" s="164" t="s">
        <v>50</v>
      </c>
      <c r="D60" s="165"/>
      <c r="E60" s="13">
        <f>UnleadedBase</f>
        <v>3.3485613928571434</v>
      </c>
      <c r="F60" s="2"/>
      <c r="G60" s="12"/>
      <c r="H60" s="9"/>
      <c r="I60" s="9"/>
    </row>
    <row r="61" spans="1:9" x14ac:dyDescent="0.2">
      <c r="A61" s="9"/>
      <c r="B61" s="11"/>
      <c r="C61" s="166" t="s">
        <v>51</v>
      </c>
      <c r="D61" s="167"/>
      <c r="E61" s="14">
        <f>UnleadedCurrent</f>
        <v>3.3485613928571434</v>
      </c>
      <c r="F61" s="2"/>
      <c r="G61" s="12"/>
      <c r="H61" s="9"/>
      <c r="I61" s="9"/>
    </row>
    <row r="62" spans="1:9" x14ac:dyDescent="0.2">
      <c r="A62" s="9"/>
      <c r="B62" s="11"/>
      <c r="C62" s="168" t="s">
        <v>52</v>
      </c>
      <c r="D62" s="169"/>
      <c r="E62" s="15">
        <f>VLOOKUP(E61,E67:G106,3)</f>
        <v>0</v>
      </c>
      <c r="F62" s="2"/>
      <c r="G62" s="12"/>
      <c r="H62" s="9"/>
      <c r="I62" s="9"/>
    </row>
    <row r="63" spans="1:9" x14ac:dyDescent="0.2">
      <c r="A63" s="9"/>
      <c r="B63" s="11"/>
      <c r="C63" s="2"/>
      <c r="D63" s="2"/>
      <c r="E63" s="2"/>
      <c r="F63" s="2"/>
      <c r="G63" s="12"/>
      <c r="H63" s="9"/>
      <c r="I63" s="9"/>
    </row>
    <row r="64" spans="1:9" x14ac:dyDescent="0.2">
      <c r="A64" s="9"/>
      <c r="B64" s="11"/>
      <c r="C64" s="2"/>
      <c r="D64" s="2"/>
      <c r="E64" s="2"/>
      <c r="F64" s="2"/>
      <c r="G64" s="12"/>
      <c r="H64" s="9"/>
      <c r="I64" s="9"/>
    </row>
    <row r="65" spans="1:9" x14ac:dyDescent="0.2">
      <c r="A65" s="9"/>
      <c r="B65" s="11"/>
      <c r="C65" s="2"/>
      <c r="D65" s="2"/>
      <c r="E65" s="2"/>
      <c r="F65" s="2"/>
      <c r="G65" s="12"/>
      <c r="H65" s="9"/>
      <c r="I65" s="9"/>
    </row>
    <row r="66" spans="1:9" ht="13.5" thickBot="1" x14ac:dyDescent="0.25">
      <c r="A66" s="9"/>
      <c r="B66" s="11"/>
      <c r="C66" s="2"/>
      <c r="D66" s="2"/>
      <c r="E66" s="2"/>
      <c r="F66" s="2"/>
      <c r="G66" s="12"/>
      <c r="H66" s="9"/>
      <c r="I66" s="9"/>
    </row>
    <row r="67" spans="1:9" x14ac:dyDescent="0.2">
      <c r="A67" s="9"/>
      <c r="B67" s="170" t="s">
        <v>53</v>
      </c>
      <c r="C67" s="47">
        <v>90</v>
      </c>
      <c r="D67" s="16">
        <v>100</v>
      </c>
      <c r="E67" s="36">
        <f>0*UnleadedBase</f>
        <v>0</v>
      </c>
      <c r="F67" s="17">
        <f>0.1*UnleadedBase-0.0001</f>
        <v>0.33475613928571435</v>
      </c>
      <c r="G67" s="18">
        <f>-0.9*UnleadedBase</f>
        <v>-3.013705253571429</v>
      </c>
      <c r="H67" s="9"/>
      <c r="I67" s="9"/>
    </row>
    <row r="68" spans="1:9" x14ac:dyDescent="0.2">
      <c r="A68" s="9"/>
      <c r="B68" s="171"/>
      <c r="C68" s="48">
        <v>80</v>
      </c>
      <c r="D68" s="19">
        <v>90</v>
      </c>
      <c r="E68" s="38">
        <f>0.1*UnleadedBase</f>
        <v>0.33485613928571434</v>
      </c>
      <c r="F68" s="20">
        <f>0.2*UnleadedBase-0.0001</f>
        <v>0.66961227857142869</v>
      </c>
      <c r="G68" s="21">
        <f>-0.8*UnleadedBase</f>
        <v>-2.6788491142857147</v>
      </c>
      <c r="H68" s="9"/>
      <c r="I68" s="9"/>
    </row>
    <row r="69" spans="1:9" x14ac:dyDescent="0.2">
      <c r="A69" s="9"/>
      <c r="B69" s="171"/>
      <c r="C69" s="48">
        <v>70</v>
      </c>
      <c r="D69" s="19">
        <v>80</v>
      </c>
      <c r="E69" s="38">
        <f>0.2*UnleadedBase</f>
        <v>0.66971227857142868</v>
      </c>
      <c r="F69" s="20">
        <f>0.3*UnleadedBase-0.0001</f>
        <v>1.004468417857143</v>
      </c>
      <c r="G69" s="21">
        <f>-0.7*UnleadedBase</f>
        <v>-2.3439929750000004</v>
      </c>
      <c r="H69" s="9"/>
      <c r="I69" s="9"/>
    </row>
    <row r="70" spans="1:9" x14ac:dyDescent="0.2">
      <c r="A70" s="9"/>
      <c r="B70" s="171"/>
      <c r="C70" s="48">
        <v>60</v>
      </c>
      <c r="D70" s="19">
        <v>70</v>
      </c>
      <c r="E70" s="38">
        <f>0.3*UnleadedBase</f>
        <v>1.004568417857143</v>
      </c>
      <c r="F70" s="20">
        <f>0.4*UnleadedBase-0.0001</f>
        <v>1.3393245571428574</v>
      </c>
      <c r="G70" s="21">
        <f>-0.6*UnleadedBase</f>
        <v>-2.009136835714286</v>
      </c>
      <c r="H70" s="9"/>
      <c r="I70" s="9"/>
    </row>
    <row r="71" spans="1:9" x14ac:dyDescent="0.2">
      <c r="A71" s="9"/>
      <c r="B71" s="171"/>
      <c r="C71" s="48">
        <v>50</v>
      </c>
      <c r="D71" s="19">
        <v>60</v>
      </c>
      <c r="E71" s="38">
        <f>0.4*UnleadedBase</f>
        <v>1.3394245571428574</v>
      </c>
      <c r="F71" s="20">
        <f>0.5*UnleadedBase-0.0001</f>
        <v>1.6741806964285717</v>
      </c>
      <c r="G71" s="21">
        <f>-0.5*UnleadedBase</f>
        <v>-1.6742806964285717</v>
      </c>
      <c r="H71" s="9"/>
      <c r="I71" s="9"/>
    </row>
    <row r="72" spans="1:9" x14ac:dyDescent="0.2">
      <c r="A72" s="9"/>
      <c r="B72" s="171"/>
      <c r="C72" s="48">
        <v>40</v>
      </c>
      <c r="D72" s="19">
        <v>50</v>
      </c>
      <c r="E72" s="38">
        <f>0.5*UnleadedBase</f>
        <v>1.6742806964285717</v>
      </c>
      <c r="F72" s="20">
        <f>0.6*UnleadedBase-0.0001</f>
        <v>2.0090368357142858</v>
      </c>
      <c r="G72" s="21">
        <f>-0.4*UnleadedBase</f>
        <v>-1.3394245571428574</v>
      </c>
      <c r="H72" s="9"/>
      <c r="I72" s="9"/>
    </row>
    <row r="73" spans="1:9" x14ac:dyDescent="0.2">
      <c r="A73" s="9"/>
      <c r="B73" s="171"/>
      <c r="C73" s="48">
        <v>30</v>
      </c>
      <c r="D73" s="19">
        <v>40</v>
      </c>
      <c r="E73" s="38">
        <f>0.6*UnleadedBase</f>
        <v>2.009136835714286</v>
      </c>
      <c r="F73" s="20">
        <f>0.7*UnleadedBase-0.0001</f>
        <v>2.3438929750000002</v>
      </c>
      <c r="G73" s="21">
        <f>-0.3*UnleadedBase</f>
        <v>-1.004568417857143</v>
      </c>
      <c r="H73" s="9"/>
      <c r="I73" s="9"/>
    </row>
    <row r="74" spans="1:9" x14ac:dyDescent="0.2">
      <c r="A74" s="9"/>
      <c r="B74" s="171"/>
      <c r="C74" s="48">
        <v>20</v>
      </c>
      <c r="D74" s="19">
        <v>30</v>
      </c>
      <c r="E74" s="38">
        <f>0.7*UnleadedBase</f>
        <v>2.3439929750000004</v>
      </c>
      <c r="F74" s="20">
        <f>0.8*UnleadedBase-0.0001</f>
        <v>2.6787491142857145</v>
      </c>
      <c r="G74" s="21">
        <f>-0.2*UnleadedBase</f>
        <v>-0.66971227857142868</v>
      </c>
      <c r="H74" s="9"/>
      <c r="I74" s="9"/>
    </row>
    <row r="75" spans="1:9" x14ac:dyDescent="0.2">
      <c r="A75" s="9"/>
      <c r="B75" s="171"/>
      <c r="C75" s="48">
        <v>10</v>
      </c>
      <c r="D75" s="19">
        <v>20</v>
      </c>
      <c r="E75" s="38">
        <f>0.8*UnleadedBase</f>
        <v>2.6788491142857147</v>
      </c>
      <c r="F75" s="20">
        <f>0.9*UnleadedBase-0.0001</f>
        <v>3.0136052535714288</v>
      </c>
      <c r="G75" s="21">
        <f>-0.1*UnleadedBase</f>
        <v>-0.33485613928571434</v>
      </c>
      <c r="H75" s="9"/>
      <c r="I75" s="9"/>
    </row>
    <row r="76" spans="1:9" x14ac:dyDescent="0.2">
      <c r="A76" s="9"/>
      <c r="B76" s="172"/>
      <c r="C76" s="55">
        <v>0</v>
      </c>
      <c r="D76" s="54">
        <v>10</v>
      </c>
      <c r="E76" s="40">
        <f>0.9*UnleadedBase</f>
        <v>3.013705253571429</v>
      </c>
      <c r="F76" s="41">
        <f>1*UnleadedBase-0.0001</f>
        <v>3.3484613928571432</v>
      </c>
      <c r="G76" s="42">
        <f>0*UnleadedBase</f>
        <v>0</v>
      </c>
      <c r="H76" s="9"/>
      <c r="I76" s="9"/>
    </row>
    <row r="77" spans="1:9" x14ac:dyDescent="0.2">
      <c r="A77" s="9"/>
      <c r="B77" s="173" t="s">
        <v>54</v>
      </c>
      <c r="C77" s="56">
        <v>0</v>
      </c>
      <c r="D77" s="53">
        <v>10</v>
      </c>
      <c r="E77" s="44">
        <f>1*UnleadedBase</f>
        <v>3.3485613928571434</v>
      </c>
      <c r="F77" s="45">
        <f>1.1*UnleadedBase</f>
        <v>3.6834175321428582</v>
      </c>
      <c r="G77" s="46">
        <f>0*UnleadedBase</f>
        <v>0</v>
      </c>
      <c r="H77" s="9"/>
      <c r="I77" s="9"/>
    </row>
    <row r="78" spans="1:9" x14ac:dyDescent="0.2">
      <c r="A78" s="9"/>
      <c r="B78" s="171"/>
      <c r="C78" s="48">
        <v>10</v>
      </c>
      <c r="D78" s="19">
        <v>20</v>
      </c>
      <c r="E78" s="37">
        <f>1.1*UnleadedBase+0.0001</f>
        <v>3.6835175321428584</v>
      </c>
      <c r="F78" s="20">
        <f>1.2*UnleadedBase</f>
        <v>4.0182736714285721</v>
      </c>
      <c r="G78" s="21">
        <f>0.1*UnleadedBase</f>
        <v>0.33485613928571434</v>
      </c>
      <c r="H78" s="9"/>
      <c r="I78" s="9"/>
    </row>
    <row r="79" spans="1:9" x14ac:dyDescent="0.2">
      <c r="A79" s="9"/>
      <c r="B79" s="171"/>
      <c r="C79" s="48">
        <v>20</v>
      </c>
      <c r="D79" s="19">
        <v>30</v>
      </c>
      <c r="E79" s="37">
        <f>1.2*UnleadedBase+0.0001</f>
        <v>4.0183736714285718</v>
      </c>
      <c r="F79" s="20">
        <f>1.3*UnleadedBase</f>
        <v>4.3531298107142868</v>
      </c>
      <c r="G79" s="21">
        <f>0.2*UnleadedBase</f>
        <v>0.66971227857142868</v>
      </c>
      <c r="H79" s="9"/>
      <c r="I79" s="9"/>
    </row>
    <row r="80" spans="1:9" x14ac:dyDescent="0.2">
      <c r="A80" s="9"/>
      <c r="B80" s="171"/>
      <c r="C80" s="48">
        <v>30</v>
      </c>
      <c r="D80" s="19">
        <v>40</v>
      </c>
      <c r="E80" s="37">
        <f>1.3*UnleadedBase+0.0001</f>
        <v>4.3532298107142866</v>
      </c>
      <c r="F80" s="20">
        <f>1.4*UnleadedBase</f>
        <v>4.6879859500000007</v>
      </c>
      <c r="G80" s="21">
        <f>0.3*UnleadedBase</f>
        <v>1.004568417857143</v>
      </c>
      <c r="H80" s="9"/>
      <c r="I80" s="9"/>
    </row>
    <row r="81" spans="1:9" x14ac:dyDescent="0.2">
      <c r="A81" s="9"/>
      <c r="B81" s="171"/>
      <c r="C81" s="48">
        <v>40</v>
      </c>
      <c r="D81" s="19">
        <v>50</v>
      </c>
      <c r="E81" s="37">
        <f>1.4*UnleadedBase+0.0001</f>
        <v>4.6880859500000005</v>
      </c>
      <c r="F81" s="20">
        <f>1.5*UnleadedBase</f>
        <v>5.0228420892857155</v>
      </c>
      <c r="G81" s="21">
        <f>0.4*UnleadedBase</f>
        <v>1.3394245571428574</v>
      </c>
      <c r="H81" s="9"/>
      <c r="I81" s="9"/>
    </row>
    <row r="82" spans="1:9" x14ac:dyDescent="0.2">
      <c r="A82" s="9"/>
      <c r="B82" s="171"/>
      <c r="C82" s="48">
        <v>50</v>
      </c>
      <c r="D82" s="19">
        <v>60</v>
      </c>
      <c r="E82" s="37">
        <f>1.5*UnleadedBase+0.0001</f>
        <v>5.0229420892857153</v>
      </c>
      <c r="F82" s="20">
        <f>1.6*UnleadedBase</f>
        <v>5.3576982285714294</v>
      </c>
      <c r="G82" s="21">
        <f>0.5*UnleadedBase</f>
        <v>1.6742806964285717</v>
      </c>
      <c r="H82" s="9"/>
      <c r="I82" s="9"/>
    </row>
    <row r="83" spans="1:9" x14ac:dyDescent="0.2">
      <c r="A83" s="9"/>
      <c r="B83" s="171"/>
      <c r="C83" s="48">
        <v>60</v>
      </c>
      <c r="D83" s="19">
        <v>70</v>
      </c>
      <c r="E83" s="37">
        <f>1.6*UnleadedBase+0.0001</f>
        <v>5.3577982285714292</v>
      </c>
      <c r="F83" s="20">
        <f>1.7*UnleadedBase</f>
        <v>5.6925543678571433</v>
      </c>
      <c r="G83" s="21">
        <f>0.6*UnleadedBase</f>
        <v>2.009136835714286</v>
      </c>
      <c r="H83" s="9"/>
      <c r="I83" s="9"/>
    </row>
    <row r="84" spans="1:9" x14ac:dyDescent="0.2">
      <c r="A84" s="9"/>
      <c r="B84" s="171"/>
      <c r="C84" s="48">
        <v>70</v>
      </c>
      <c r="D84" s="19">
        <v>80</v>
      </c>
      <c r="E84" s="37">
        <f>1.7*UnleadedBase+0.0001</f>
        <v>5.6926543678571431</v>
      </c>
      <c r="F84" s="20">
        <f>1.8*UnleadedBase</f>
        <v>6.0274105071428581</v>
      </c>
      <c r="G84" s="21">
        <f>0.7*UnleadedBase</f>
        <v>2.3439929750000004</v>
      </c>
      <c r="H84" s="9"/>
      <c r="I84" s="9"/>
    </row>
    <row r="85" spans="1:9" x14ac:dyDescent="0.2">
      <c r="A85" s="9"/>
      <c r="B85" s="171"/>
      <c r="C85" s="48">
        <v>80</v>
      </c>
      <c r="D85" s="19">
        <v>90</v>
      </c>
      <c r="E85" s="37">
        <f>1.8*UnleadedBase+0.0001</f>
        <v>6.0275105071428579</v>
      </c>
      <c r="F85" s="20">
        <f>1.9*UnleadedBase</f>
        <v>6.362266646428572</v>
      </c>
      <c r="G85" s="21">
        <f>0.8*UnleadedBase</f>
        <v>2.6788491142857147</v>
      </c>
      <c r="H85" s="9"/>
      <c r="I85" s="9"/>
    </row>
    <row r="86" spans="1:9" x14ac:dyDescent="0.2">
      <c r="A86" s="9"/>
      <c r="B86" s="171"/>
      <c r="C86" s="48">
        <v>90</v>
      </c>
      <c r="D86" s="19">
        <v>100</v>
      </c>
      <c r="E86" s="37">
        <f>1.9*UnleadedBase+0.0001</f>
        <v>6.3623666464285717</v>
      </c>
      <c r="F86" s="20">
        <f>2*UnleadedBase</f>
        <v>6.6971227857142868</v>
      </c>
      <c r="G86" s="21">
        <f>0.9*UnleadedBase</f>
        <v>3.013705253571429</v>
      </c>
      <c r="H86" s="9"/>
      <c r="I86" s="9"/>
    </row>
    <row r="87" spans="1:9" x14ac:dyDescent="0.2">
      <c r="A87" s="9"/>
      <c r="B87" s="171"/>
      <c r="C87" s="48">
        <v>100</v>
      </c>
      <c r="D87" s="19">
        <v>110</v>
      </c>
      <c r="E87" s="37">
        <f>2*UnleadedBase+0.0001</f>
        <v>6.6972227857142865</v>
      </c>
      <c r="F87" s="20">
        <f>2.1*UnleadedBase</f>
        <v>7.0319789250000015</v>
      </c>
      <c r="G87" s="21">
        <f>1*UnleadedBase</f>
        <v>3.3485613928571434</v>
      </c>
      <c r="H87" s="9"/>
      <c r="I87" s="9"/>
    </row>
    <row r="88" spans="1:9" x14ac:dyDescent="0.2">
      <c r="A88" s="9"/>
      <c r="B88" s="171"/>
      <c r="C88" s="48">
        <v>110</v>
      </c>
      <c r="D88" s="19">
        <v>120</v>
      </c>
      <c r="E88" s="37">
        <f>2.1*UnleadedBase+0.0001</f>
        <v>7.0320789250000013</v>
      </c>
      <c r="F88" s="20">
        <f>2.2*UnleadedBase</f>
        <v>7.3668350642857163</v>
      </c>
      <c r="G88" s="21">
        <f>1.1*UnleadedBase</f>
        <v>3.6834175321428582</v>
      </c>
      <c r="H88" s="9"/>
      <c r="I88" s="9"/>
    </row>
    <row r="89" spans="1:9" x14ac:dyDescent="0.2">
      <c r="A89" s="9"/>
      <c r="B89" s="171"/>
      <c r="C89" s="48">
        <v>120</v>
      </c>
      <c r="D89" s="19">
        <v>130</v>
      </c>
      <c r="E89" s="37">
        <f>2.2*UnleadedBase+0.0001</f>
        <v>7.3669350642857161</v>
      </c>
      <c r="F89" s="20">
        <f>2.3*UnleadedBase</f>
        <v>7.7016912035714293</v>
      </c>
      <c r="G89" s="21">
        <f>1.2*UnleadedBase</f>
        <v>4.0182736714285721</v>
      </c>
      <c r="H89" s="9"/>
      <c r="I89" s="9"/>
    </row>
    <row r="90" spans="1:9" x14ac:dyDescent="0.2">
      <c r="A90" s="9"/>
      <c r="B90" s="171"/>
      <c r="C90" s="48">
        <v>130</v>
      </c>
      <c r="D90" s="19">
        <v>140</v>
      </c>
      <c r="E90" s="37">
        <f>2.3*UnleadedBase+0.0001</f>
        <v>7.7017912035714291</v>
      </c>
      <c r="F90" s="20">
        <f>2.4*UnleadedBase</f>
        <v>8.0365473428571441</v>
      </c>
      <c r="G90" s="21">
        <f>1.3*UnleadedBase</f>
        <v>4.3531298107142868</v>
      </c>
      <c r="H90" s="9"/>
      <c r="I90" s="9"/>
    </row>
    <row r="91" spans="1:9" x14ac:dyDescent="0.2">
      <c r="A91" s="9"/>
      <c r="B91" s="171"/>
      <c r="C91" s="48">
        <v>140</v>
      </c>
      <c r="D91" s="19">
        <v>150</v>
      </c>
      <c r="E91" s="37">
        <f>2.4*UnleadedBase+0.0001</f>
        <v>8.0366473428571439</v>
      </c>
      <c r="F91" s="20">
        <f>2.5*UnleadedBase</f>
        <v>8.371403482142858</v>
      </c>
      <c r="G91" s="21">
        <f>1.4*UnleadedBase</f>
        <v>4.6879859500000007</v>
      </c>
      <c r="H91" s="9"/>
      <c r="I91" s="9"/>
    </row>
    <row r="92" spans="1:9" x14ac:dyDescent="0.2">
      <c r="A92" s="9"/>
      <c r="B92" s="171"/>
      <c r="C92" s="48">
        <v>150</v>
      </c>
      <c r="D92" s="19">
        <v>160</v>
      </c>
      <c r="E92" s="37">
        <f>2.5*UnleadedBase+0.0001</f>
        <v>8.3715034821428578</v>
      </c>
      <c r="F92" s="20">
        <f>2.6*UnleadedBase</f>
        <v>8.7062596214285737</v>
      </c>
      <c r="G92" s="21">
        <f>1.5*UnleadedBase</f>
        <v>5.0228420892857155</v>
      </c>
      <c r="H92" s="9"/>
      <c r="I92" s="9"/>
    </row>
    <row r="93" spans="1:9" x14ac:dyDescent="0.2">
      <c r="A93" s="9"/>
      <c r="B93" s="171"/>
      <c r="C93" s="48">
        <v>160</v>
      </c>
      <c r="D93" s="19">
        <v>170</v>
      </c>
      <c r="E93" s="37">
        <f>2.6*UnleadedBase+0.0001</f>
        <v>8.7063596214285734</v>
      </c>
      <c r="F93" s="20">
        <f>2.7*UnleadedBase</f>
        <v>9.0411157607142876</v>
      </c>
      <c r="G93" s="21">
        <f>1.6*UnleadedBase</f>
        <v>5.3576982285714294</v>
      </c>
      <c r="H93" s="9"/>
      <c r="I93" s="9"/>
    </row>
    <row r="94" spans="1:9" x14ac:dyDescent="0.2">
      <c r="A94" s="9"/>
      <c r="B94" s="171"/>
      <c r="C94" s="48">
        <v>170</v>
      </c>
      <c r="D94" s="19">
        <v>180</v>
      </c>
      <c r="E94" s="37">
        <f>2.7*UnleadedBase+0.0001</f>
        <v>9.0412157607142873</v>
      </c>
      <c r="F94" s="20">
        <f>2.8*UnleadedBase</f>
        <v>9.3759719000000015</v>
      </c>
      <c r="G94" s="21">
        <f>1.7*UnleadedBase</f>
        <v>5.6925543678571433</v>
      </c>
      <c r="H94" s="9"/>
      <c r="I94" s="9"/>
    </row>
    <row r="95" spans="1:9" x14ac:dyDescent="0.2">
      <c r="A95" s="9"/>
      <c r="B95" s="171"/>
      <c r="C95" s="48">
        <v>180</v>
      </c>
      <c r="D95" s="19">
        <v>190</v>
      </c>
      <c r="E95" s="37">
        <f>2.8*UnleadedBase+0.0001</f>
        <v>9.3760719000000012</v>
      </c>
      <c r="F95" s="20">
        <f>2.9*UnleadedBase</f>
        <v>9.7108280392857154</v>
      </c>
      <c r="G95" s="21">
        <f>1.8*UnleadedBase</f>
        <v>6.0274105071428581</v>
      </c>
      <c r="H95" s="9"/>
      <c r="I95" s="9"/>
    </row>
    <row r="96" spans="1:9" x14ac:dyDescent="0.2">
      <c r="A96" s="9"/>
      <c r="B96" s="171"/>
      <c r="C96" s="48">
        <v>190</v>
      </c>
      <c r="D96" s="19">
        <v>200</v>
      </c>
      <c r="E96" s="37">
        <f>2.9*UnleadedBase+0.0001</f>
        <v>9.7109280392857151</v>
      </c>
      <c r="F96" s="20">
        <f>3*UnleadedBase</f>
        <v>10.045684178571431</v>
      </c>
      <c r="G96" s="21">
        <f>1.9*UnleadedBase</f>
        <v>6.362266646428572</v>
      </c>
      <c r="H96" s="9"/>
      <c r="I96" s="9"/>
    </row>
    <row r="97" spans="1:9" x14ac:dyDescent="0.2">
      <c r="A97" s="9"/>
      <c r="B97" s="171"/>
      <c r="C97" s="48">
        <v>200</v>
      </c>
      <c r="D97" s="19">
        <v>210</v>
      </c>
      <c r="E97" s="37">
        <f>3*UnleadedBase+0.0001</f>
        <v>10.045784178571431</v>
      </c>
      <c r="F97" s="20">
        <f>3.1*UnleadedBase</f>
        <v>10.380540317857145</v>
      </c>
      <c r="G97" s="21">
        <f>2*UnleadedBase</f>
        <v>6.6971227857142868</v>
      </c>
      <c r="H97" s="9"/>
      <c r="I97" s="9"/>
    </row>
    <row r="98" spans="1:9" x14ac:dyDescent="0.2">
      <c r="A98" s="9"/>
      <c r="B98" s="171"/>
      <c r="C98" s="48">
        <v>210</v>
      </c>
      <c r="D98" s="19">
        <v>220</v>
      </c>
      <c r="E98" s="37">
        <f>3.1*UnleadedBase+0.0001</f>
        <v>10.380640317857145</v>
      </c>
      <c r="F98" s="20">
        <f>3.2*UnleadedBase</f>
        <v>10.715396457142859</v>
      </c>
      <c r="G98" s="21">
        <f>2.1*UnleadedBase</f>
        <v>7.0319789250000015</v>
      </c>
      <c r="H98" s="9"/>
      <c r="I98" s="9"/>
    </row>
    <row r="99" spans="1:9" x14ac:dyDescent="0.2">
      <c r="A99" s="9"/>
      <c r="B99" s="171"/>
      <c r="C99" s="48">
        <v>220</v>
      </c>
      <c r="D99" s="19">
        <v>230</v>
      </c>
      <c r="E99" s="37">
        <f>3.2*UnleadedBase+0.0001</f>
        <v>10.715496457142859</v>
      </c>
      <c r="F99" s="20">
        <f>3.3*UnleadedBase</f>
        <v>11.050252596428573</v>
      </c>
      <c r="G99" s="21">
        <f>2.2*UnleadedBase</f>
        <v>7.3668350642857163</v>
      </c>
      <c r="H99" s="9"/>
      <c r="I99" s="9"/>
    </row>
    <row r="100" spans="1:9" x14ac:dyDescent="0.2">
      <c r="A100" s="9"/>
      <c r="B100" s="171"/>
      <c r="C100" s="48">
        <v>230</v>
      </c>
      <c r="D100" s="19">
        <v>240</v>
      </c>
      <c r="E100" s="37">
        <f>3.3*UnleadedBase+0.0001</f>
        <v>11.050352596428572</v>
      </c>
      <c r="F100" s="20">
        <f>3.4*UnleadedBase</f>
        <v>11.385108735714287</v>
      </c>
      <c r="G100" s="21">
        <f>2.3*UnleadedBase</f>
        <v>7.7016912035714293</v>
      </c>
      <c r="H100" s="9"/>
      <c r="I100" s="9"/>
    </row>
    <row r="101" spans="1:9" x14ac:dyDescent="0.2">
      <c r="A101" s="9"/>
      <c r="B101" s="171"/>
      <c r="C101" s="48">
        <v>240</v>
      </c>
      <c r="D101" s="19">
        <v>250</v>
      </c>
      <c r="E101" s="37">
        <f>3.4*UnleadedBase+0.0001</f>
        <v>11.385208735714286</v>
      </c>
      <c r="F101" s="20">
        <f>3.5*UnleadedBase</f>
        <v>11.719964875000002</v>
      </c>
      <c r="G101" s="21">
        <f>2.4*UnleadedBase</f>
        <v>8.0365473428571441</v>
      </c>
      <c r="H101" s="9"/>
      <c r="I101" s="9"/>
    </row>
    <row r="102" spans="1:9" x14ac:dyDescent="0.2">
      <c r="A102" s="9"/>
      <c r="B102" s="171"/>
      <c r="C102" s="48">
        <v>250</v>
      </c>
      <c r="D102" s="19">
        <v>260</v>
      </c>
      <c r="E102" s="37">
        <f>3.5*UnleadedBase+0.0001</f>
        <v>11.720064875000002</v>
      </c>
      <c r="F102" s="20">
        <f>3.6*UnleadedBase</f>
        <v>12.054821014285716</v>
      </c>
      <c r="G102" s="21">
        <f>2.5*UnleadedBase</f>
        <v>8.371403482142858</v>
      </c>
      <c r="H102" s="9"/>
      <c r="I102" s="9"/>
    </row>
    <row r="103" spans="1:9" x14ac:dyDescent="0.2">
      <c r="A103" s="9"/>
      <c r="B103" s="171"/>
      <c r="C103" s="48">
        <v>260</v>
      </c>
      <c r="D103" s="19">
        <v>270</v>
      </c>
      <c r="E103" s="37">
        <f>3.6*UnleadedBase+0.0001</f>
        <v>12.054921014285716</v>
      </c>
      <c r="F103" s="20">
        <f>3.7*UnleadedBase</f>
        <v>12.389677153571432</v>
      </c>
      <c r="G103" s="21">
        <f>2.6*UnleadedBase</f>
        <v>8.7062596214285737</v>
      </c>
      <c r="H103" s="9"/>
      <c r="I103" s="9"/>
    </row>
    <row r="104" spans="1:9" x14ac:dyDescent="0.2">
      <c r="A104" s="9"/>
      <c r="B104" s="171"/>
      <c r="C104" s="48">
        <v>270</v>
      </c>
      <c r="D104" s="19">
        <v>280</v>
      </c>
      <c r="E104" s="37">
        <f>3.7*UnleadedBase+0.0001</f>
        <v>12.389777153571432</v>
      </c>
      <c r="F104" s="20">
        <f>3.8*UnleadedBase</f>
        <v>12.724533292857144</v>
      </c>
      <c r="G104" s="21">
        <f>2.7*UnleadedBase</f>
        <v>9.0411157607142876</v>
      </c>
      <c r="H104" s="9"/>
      <c r="I104" s="9"/>
    </row>
    <row r="105" spans="1:9" x14ac:dyDescent="0.2">
      <c r="A105" s="9"/>
      <c r="B105" s="171"/>
      <c r="C105" s="48">
        <v>280</v>
      </c>
      <c r="D105" s="19">
        <v>290</v>
      </c>
      <c r="E105" s="37">
        <f>3.8*UnleadedBase+0.0001</f>
        <v>12.724633292857144</v>
      </c>
      <c r="F105" s="20">
        <f>3.9*UnleadedBase</f>
        <v>13.05938943214286</v>
      </c>
      <c r="G105" s="21">
        <f>2.8*UnleadedBase</f>
        <v>9.3759719000000015</v>
      </c>
      <c r="H105" s="9"/>
      <c r="I105" s="9"/>
    </row>
    <row r="106" spans="1:9" ht="13.5" thickBot="1" x14ac:dyDescent="0.25">
      <c r="A106" s="9"/>
      <c r="B106" s="174"/>
      <c r="C106" s="51">
        <v>290</v>
      </c>
      <c r="D106" s="22">
        <v>300</v>
      </c>
      <c r="E106" s="52">
        <f>3.9*UnleadedBase+0.0001</f>
        <v>13.059489432142859</v>
      </c>
      <c r="F106" s="23">
        <f>4*UnleadedBase</f>
        <v>13.394245571428574</v>
      </c>
      <c r="G106" s="24">
        <f>2.9*UnleadedBase</f>
        <v>9.7108280392857154</v>
      </c>
      <c r="H106" s="9"/>
      <c r="I106" s="9"/>
    </row>
    <row r="107" spans="1:9" x14ac:dyDescent="0.2">
      <c r="A107" s="9"/>
      <c r="B107" s="25"/>
      <c r="C107" s="10"/>
      <c r="D107" s="10"/>
      <c r="E107" s="26"/>
      <c r="F107" s="26"/>
      <c r="G107" s="26"/>
      <c r="H107" s="9"/>
      <c r="I107" s="9"/>
    </row>
    <row r="108" spans="1:9" x14ac:dyDescent="0.2">
      <c r="A108" s="9"/>
      <c r="B108" s="25"/>
      <c r="C108" s="10"/>
      <c r="D108" s="10"/>
      <c r="E108" s="26"/>
      <c r="F108" s="26"/>
      <c r="G108" s="26"/>
      <c r="H108" s="9"/>
      <c r="I108" s="9"/>
    </row>
    <row r="109" spans="1:9" x14ac:dyDescent="0.2">
      <c r="A109" s="9"/>
      <c r="B109" s="25"/>
      <c r="C109" s="10"/>
      <c r="D109" s="10"/>
      <c r="E109" s="26"/>
      <c r="F109" s="26"/>
      <c r="G109" s="26"/>
      <c r="H109" s="9"/>
      <c r="I109" s="9"/>
    </row>
    <row r="110" spans="1:9" x14ac:dyDescent="0.2">
      <c r="A110" s="9"/>
      <c r="B110" s="25"/>
      <c r="C110" s="10"/>
      <c r="D110" s="10"/>
      <c r="E110" s="26"/>
      <c r="F110" s="26"/>
      <c r="G110" s="26"/>
      <c r="H110" s="9"/>
      <c r="I110" s="9"/>
    </row>
  </sheetData>
  <sheetProtection password="808D" sheet="1" objects="1" scenarios="1"/>
  <mergeCells count="12">
    <mergeCell ref="B67:B76"/>
    <mergeCell ref="B77:B106"/>
    <mergeCell ref="B12:B21"/>
    <mergeCell ref="B22:B51"/>
    <mergeCell ref="B58:G58"/>
    <mergeCell ref="C60:D60"/>
    <mergeCell ref="C62:D62"/>
    <mergeCell ref="B3:G3"/>
    <mergeCell ref="C5:D5"/>
    <mergeCell ref="C6:D6"/>
    <mergeCell ref="C7:D7"/>
    <mergeCell ref="C61:D61"/>
  </mergeCells>
  <phoneticPr fontId="0" type="noConversion"/>
  <conditionalFormatting sqref="G12:G51">
    <cfRule type="cellIs" dxfId="2" priority="1" stopIfTrue="1" operator="equal">
      <formula>$E$7</formula>
    </cfRule>
  </conditionalFormatting>
  <conditionalFormatting sqref="G67:G106">
    <cfRule type="cellIs" dxfId="1" priority="2" stopIfTrue="1" operator="equal">
      <formula>$E$62</formula>
    </cfRule>
  </conditionalFormatting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108"/>
  <sheetViews>
    <sheetView workbookViewId="0">
      <selection activeCell="I25" sqref="I25"/>
    </sheetView>
  </sheetViews>
  <sheetFormatPr defaultRowHeight="12.75" x14ac:dyDescent="0.2"/>
  <cols>
    <col min="3" max="4" width="9.7109375" customWidth="1"/>
    <col min="5" max="7" width="11.7109375" customWidth="1"/>
  </cols>
  <sheetData>
    <row r="1" spans="1:8" ht="24.75" customHeight="1" thickBot="1" x14ac:dyDescent="0.25">
      <c r="A1" s="9"/>
      <c r="B1" s="10"/>
      <c r="C1" s="10"/>
      <c r="D1" s="10"/>
      <c r="E1" s="10"/>
      <c r="F1" s="10"/>
      <c r="G1" s="10"/>
      <c r="H1" s="9"/>
    </row>
    <row r="2" spans="1:8" ht="15.75" x14ac:dyDescent="0.25">
      <c r="A2" s="9"/>
      <c r="B2" s="184" t="s">
        <v>56</v>
      </c>
      <c r="C2" s="185"/>
      <c r="D2" s="185"/>
      <c r="E2" s="185"/>
      <c r="F2" s="185"/>
      <c r="G2" s="186"/>
      <c r="H2" s="9"/>
    </row>
    <row r="3" spans="1:8" x14ac:dyDescent="0.2">
      <c r="A3" s="9"/>
      <c r="B3" s="11"/>
      <c r="C3" s="2"/>
      <c r="D3" s="2"/>
      <c r="E3" s="2"/>
      <c r="F3" s="2"/>
      <c r="G3" s="12"/>
      <c r="H3" s="9"/>
    </row>
    <row r="4" spans="1:8" x14ac:dyDescent="0.2">
      <c r="A4" s="9"/>
      <c r="B4" s="11"/>
      <c r="C4" s="164" t="s">
        <v>50</v>
      </c>
      <c r="D4" s="165"/>
      <c r="E4" s="27">
        <f>AsphaltBinderBase</f>
        <v>727.63</v>
      </c>
      <c r="F4" s="2"/>
      <c r="G4" s="12"/>
      <c r="H4" s="9"/>
    </row>
    <row r="5" spans="1:8" x14ac:dyDescent="0.2">
      <c r="A5" s="9"/>
      <c r="B5" s="11"/>
      <c r="C5" s="166" t="s">
        <v>51</v>
      </c>
      <c r="D5" s="167"/>
      <c r="E5" s="27">
        <f>AsphaltBinderCurrent</f>
        <v>727.63</v>
      </c>
      <c r="F5" s="2"/>
      <c r="G5" s="12"/>
      <c r="H5" s="9"/>
    </row>
    <row r="6" spans="1:8" x14ac:dyDescent="0.2">
      <c r="A6" s="9"/>
      <c r="B6" s="11"/>
      <c r="C6" s="168" t="s">
        <v>52</v>
      </c>
      <c r="D6" s="169"/>
      <c r="E6" s="28">
        <f>VLOOKUP(E5,E11:G105,3)</f>
        <v>0</v>
      </c>
      <c r="F6" s="2"/>
      <c r="G6" s="12"/>
      <c r="H6" s="9"/>
    </row>
    <row r="7" spans="1:8" x14ac:dyDescent="0.2">
      <c r="A7" s="9"/>
      <c r="B7" s="11"/>
      <c r="C7" s="2"/>
      <c r="D7" s="2"/>
      <c r="E7" s="2"/>
      <c r="F7" s="2"/>
      <c r="G7" s="12"/>
      <c r="H7" s="9"/>
    </row>
    <row r="8" spans="1:8" x14ac:dyDescent="0.2">
      <c r="A8" s="9"/>
      <c r="B8" s="11"/>
      <c r="C8" s="2"/>
      <c r="D8" s="2"/>
      <c r="E8" s="2"/>
      <c r="F8" s="2"/>
      <c r="G8" s="12"/>
      <c r="H8" s="9"/>
    </row>
    <row r="9" spans="1:8" x14ac:dyDescent="0.2">
      <c r="A9" s="9"/>
      <c r="B9" s="11"/>
      <c r="C9" s="2"/>
      <c r="D9" s="2"/>
      <c r="E9" s="2"/>
      <c r="F9" s="2"/>
      <c r="G9" s="12"/>
      <c r="H9" s="9"/>
    </row>
    <row r="10" spans="1:8" x14ac:dyDescent="0.2">
      <c r="A10" s="9"/>
      <c r="B10" s="11"/>
      <c r="C10" s="2"/>
      <c r="D10" s="2"/>
      <c r="E10" s="2"/>
      <c r="F10" s="2"/>
      <c r="G10" s="12"/>
      <c r="H10" s="9"/>
    </row>
    <row r="11" spans="1:8" x14ac:dyDescent="0.2">
      <c r="A11" s="9"/>
      <c r="B11" s="181" t="s">
        <v>53</v>
      </c>
      <c r="C11" s="50">
        <v>95</v>
      </c>
      <c r="D11" s="43">
        <v>100</v>
      </c>
      <c r="E11" s="62">
        <f>0*AsphaltBinderBase</f>
        <v>0</v>
      </c>
      <c r="F11" s="62">
        <f>0.05*AsphaltBinderBase-0.01</f>
        <v>36.371500000000005</v>
      </c>
      <c r="G11" s="64">
        <f>-0.95*AsphaltBinderBase</f>
        <v>-691.24849999999992</v>
      </c>
      <c r="H11" s="9"/>
    </row>
    <row r="12" spans="1:8" x14ac:dyDescent="0.2">
      <c r="A12" s="9"/>
      <c r="B12" s="182"/>
      <c r="C12" s="48">
        <v>90</v>
      </c>
      <c r="D12" s="19">
        <v>95</v>
      </c>
      <c r="E12" s="29">
        <f>0.05*AsphaltBinderBase</f>
        <v>36.381500000000003</v>
      </c>
      <c r="F12" s="29">
        <f>0.1*AsphaltBinderBase-0.01</f>
        <v>72.753</v>
      </c>
      <c r="G12" s="66">
        <f>-0.9*AsphaltBinderBase</f>
        <v>-654.86699999999996</v>
      </c>
      <c r="H12" s="9"/>
    </row>
    <row r="13" spans="1:8" x14ac:dyDescent="0.2">
      <c r="A13" s="9"/>
      <c r="B13" s="182"/>
      <c r="C13" s="48">
        <v>85</v>
      </c>
      <c r="D13" s="19">
        <v>90</v>
      </c>
      <c r="E13" s="29">
        <f>0.1*AsphaltBinderBase</f>
        <v>72.763000000000005</v>
      </c>
      <c r="F13" s="29">
        <f>0.15*AsphaltBinderBase-0.01</f>
        <v>109.13449999999999</v>
      </c>
      <c r="G13" s="66">
        <f>-0.85*AsphaltBinderBase</f>
        <v>-618.4855</v>
      </c>
      <c r="H13" s="9"/>
    </row>
    <row r="14" spans="1:8" x14ac:dyDescent="0.2">
      <c r="A14" s="9"/>
      <c r="B14" s="182"/>
      <c r="C14" s="48">
        <v>80</v>
      </c>
      <c r="D14" s="19">
        <v>85</v>
      </c>
      <c r="E14" s="29">
        <f>0.15*AsphaltBinderBase</f>
        <v>109.14449999999999</v>
      </c>
      <c r="F14" s="29">
        <f>0.2*AsphaltBinderBase-0.01</f>
        <v>145.51600000000002</v>
      </c>
      <c r="G14" s="66">
        <f>-0.8*AsphaltBinderBase</f>
        <v>-582.10400000000004</v>
      </c>
      <c r="H14" s="9"/>
    </row>
    <row r="15" spans="1:8" x14ac:dyDescent="0.2">
      <c r="A15" s="9"/>
      <c r="B15" s="182"/>
      <c r="C15" s="48">
        <v>75</v>
      </c>
      <c r="D15" s="19">
        <v>80</v>
      </c>
      <c r="E15" s="29">
        <f>0.2*AsphaltBinderBase</f>
        <v>145.52600000000001</v>
      </c>
      <c r="F15" s="29">
        <f>0.25*AsphaltBinderBase-0.01</f>
        <v>181.89750000000001</v>
      </c>
      <c r="G15" s="66">
        <f>-0.75*AsphaltBinderBase</f>
        <v>-545.72249999999997</v>
      </c>
      <c r="H15" s="9"/>
    </row>
    <row r="16" spans="1:8" x14ac:dyDescent="0.2">
      <c r="A16" s="9"/>
      <c r="B16" s="182"/>
      <c r="C16" s="48">
        <v>70</v>
      </c>
      <c r="D16" s="19">
        <v>75</v>
      </c>
      <c r="E16" s="29">
        <f>0.25*AsphaltBinderBase</f>
        <v>181.9075</v>
      </c>
      <c r="F16" s="29">
        <f>0.3*AsphaltBinderBase-0.01</f>
        <v>218.279</v>
      </c>
      <c r="G16" s="66">
        <f>-0.7*AsphaltBinderBase</f>
        <v>-509.34099999999995</v>
      </c>
      <c r="H16" s="9"/>
    </row>
    <row r="17" spans="1:8" x14ac:dyDescent="0.2">
      <c r="A17" s="9"/>
      <c r="B17" s="182"/>
      <c r="C17" s="48">
        <v>65</v>
      </c>
      <c r="D17" s="19">
        <v>70</v>
      </c>
      <c r="E17" s="29">
        <f>0.3*AsphaltBinderBase</f>
        <v>218.28899999999999</v>
      </c>
      <c r="F17" s="29">
        <f>0.35*AsphaltBinderBase-0.01</f>
        <v>254.66049999999998</v>
      </c>
      <c r="G17" s="66">
        <f>-0.65*AsphaltBinderBase</f>
        <v>-472.95949999999999</v>
      </c>
      <c r="H17" s="9"/>
    </row>
    <row r="18" spans="1:8" x14ac:dyDescent="0.2">
      <c r="A18" s="9"/>
      <c r="B18" s="182"/>
      <c r="C18" s="48">
        <v>60</v>
      </c>
      <c r="D18" s="19">
        <v>65</v>
      </c>
      <c r="E18" s="29">
        <f>0.35*AsphaltBinderBase</f>
        <v>254.67049999999998</v>
      </c>
      <c r="F18" s="29">
        <f>0.4*AsphaltBinderBase-0.01</f>
        <v>291.04200000000003</v>
      </c>
      <c r="G18" s="66">
        <f>-0.6*AsphaltBinderBase</f>
        <v>-436.57799999999997</v>
      </c>
      <c r="H18" s="9"/>
    </row>
    <row r="19" spans="1:8" x14ac:dyDescent="0.2">
      <c r="A19" s="9"/>
      <c r="B19" s="182"/>
      <c r="C19" s="48">
        <v>55</v>
      </c>
      <c r="D19" s="19">
        <v>60</v>
      </c>
      <c r="E19" s="29">
        <f>0.4*AsphaltBinderBase</f>
        <v>291.05200000000002</v>
      </c>
      <c r="F19" s="29">
        <f>0.45*AsphaltBinderBase-0.01</f>
        <v>327.42349999999999</v>
      </c>
      <c r="G19" s="66">
        <f>-0.55*AsphaltBinderBase</f>
        <v>-400.19650000000001</v>
      </c>
      <c r="H19" s="9"/>
    </row>
    <row r="20" spans="1:8" x14ac:dyDescent="0.2">
      <c r="A20" s="9"/>
      <c r="B20" s="182"/>
      <c r="C20" s="48">
        <v>50</v>
      </c>
      <c r="D20" s="19">
        <v>55</v>
      </c>
      <c r="E20" s="29">
        <f>0.45*AsphaltBinderBase</f>
        <v>327.43349999999998</v>
      </c>
      <c r="F20" s="29">
        <f>0.5*AsphaltBinderBase-0.01</f>
        <v>363.80500000000001</v>
      </c>
      <c r="G20" s="66">
        <f>-0.5*AsphaltBinderBase</f>
        <v>-363.815</v>
      </c>
      <c r="H20" s="9"/>
    </row>
    <row r="21" spans="1:8" x14ac:dyDescent="0.2">
      <c r="A21" s="9"/>
      <c r="B21" s="182"/>
      <c r="C21" s="48">
        <v>45</v>
      </c>
      <c r="D21" s="19">
        <v>50</v>
      </c>
      <c r="E21" s="29">
        <f>0.5*AsphaltBinderBase</f>
        <v>363.815</v>
      </c>
      <c r="F21" s="29">
        <f>0.55*AsphaltBinderBase-0.01</f>
        <v>400.18650000000002</v>
      </c>
      <c r="G21" s="66">
        <f>-0.45*AsphaltBinderBase</f>
        <v>-327.43349999999998</v>
      </c>
      <c r="H21" s="9"/>
    </row>
    <row r="22" spans="1:8" x14ac:dyDescent="0.2">
      <c r="A22" s="9"/>
      <c r="B22" s="182"/>
      <c r="C22" s="48">
        <v>40</v>
      </c>
      <c r="D22" s="19">
        <v>45</v>
      </c>
      <c r="E22" s="29">
        <f>0.55*AsphaltBinderBase</f>
        <v>400.19650000000001</v>
      </c>
      <c r="F22" s="29">
        <f>0.6*AsphaltBinderBase-0.01</f>
        <v>436.56799999999998</v>
      </c>
      <c r="G22" s="66">
        <f>-0.4*AsphaltBinderBase</f>
        <v>-291.05200000000002</v>
      </c>
      <c r="H22" s="9"/>
    </row>
    <row r="23" spans="1:8" x14ac:dyDescent="0.2">
      <c r="A23" s="9"/>
      <c r="B23" s="182"/>
      <c r="C23" s="48">
        <v>35</v>
      </c>
      <c r="D23" s="19">
        <v>40</v>
      </c>
      <c r="E23" s="29">
        <f>0.6*AsphaltBinderBase</f>
        <v>436.57799999999997</v>
      </c>
      <c r="F23" s="29">
        <f>0.65*AsphaltBinderBase-0.01</f>
        <v>472.9495</v>
      </c>
      <c r="G23" s="66">
        <f>-0.35*AsphaltBinderBase</f>
        <v>-254.67049999999998</v>
      </c>
      <c r="H23" s="9"/>
    </row>
    <row r="24" spans="1:8" x14ac:dyDescent="0.2">
      <c r="A24" s="9"/>
      <c r="B24" s="182"/>
      <c r="C24" s="48">
        <v>30</v>
      </c>
      <c r="D24" s="19">
        <v>35</v>
      </c>
      <c r="E24" s="29">
        <f>0.65*AsphaltBinderBase</f>
        <v>472.95949999999999</v>
      </c>
      <c r="F24" s="29">
        <f>0.7*AsphaltBinderBase-0.01</f>
        <v>509.33099999999996</v>
      </c>
      <c r="G24" s="66">
        <f>-0.3*AsphaltBinderBase</f>
        <v>-218.28899999999999</v>
      </c>
      <c r="H24" s="9"/>
    </row>
    <row r="25" spans="1:8" x14ac:dyDescent="0.2">
      <c r="A25" s="9"/>
      <c r="B25" s="182"/>
      <c r="C25" s="48">
        <v>25</v>
      </c>
      <c r="D25" s="19">
        <v>30</v>
      </c>
      <c r="E25" s="29">
        <f>0.7*AsphaltBinderBase</f>
        <v>509.34099999999995</v>
      </c>
      <c r="F25" s="29">
        <f>0.75*AsphaltBinderBase-0.01</f>
        <v>545.71249999999998</v>
      </c>
      <c r="G25" s="66">
        <f>-0.25*AsphaltBinderBase</f>
        <v>-181.9075</v>
      </c>
      <c r="H25" s="9"/>
    </row>
    <row r="26" spans="1:8" x14ac:dyDescent="0.2">
      <c r="A26" s="9"/>
      <c r="B26" s="182"/>
      <c r="C26" s="48">
        <v>20</v>
      </c>
      <c r="D26" s="19">
        <v>25</v>
      </c>
      <c r="E26" s="29">
        <f>0.75*AsphaltBinderBase</f>
        <v>545.72249999999997</v>
      </c>
      <c r="F26" s="29">
        <f>0.8*AsphaltBinderBase-0.01</f>
        <v>582.09400000000005</v>
      </c>
      <c r="G26" s="66">
        <f>-0.2*AsphaltBinderBase</f>
        <v>-145.52600000000001</v>
      </c>
      <c r="H26" s="9"/>
    </row>
    <row r="27" spans="1:8" x14ac:dyDescent="0.2">
      <c r="A27" s="9"/>
      <c r="B27" s="182"/>
      <c r="C27" s="48">
        <v>15</v>
      </c>
      <c r="D27" s="19">
        <v>20</v>
      </c>
      <c r="E27" s="29">
        <f>0.8*AsphaltBinderBase</f>
        <v>582.10400000000004</v>
      </c>
      <c r="F27" s="29">
        <f>0.85*AsphaltBinderBase-0.01</f>
        <v>618.47550000000001</v>
      </c>
      <c r="G27" s="66">
        <f>-0.15*AsphaltBinderBase</f>
        <v>-109.14449999999999</v>
      </c>
      <c r="H27" s="9"/>
    </row>
    <row r="28" spans="1:8" x14ac:dyDescent="0.2">
      <c r="A28" s="9"/>
      <c r="B28" s="182"/>
      <c r="C28" s="48">
        <v>10</v>
      </c>
      <c r="D28" s="19">
        <v>15</v>
      </c>
      <c r="E28" s="29">
        <f>0.85*AsphaltBinderBase</f>
        <v>618.4855</v>
      </c>
      <c r="F28" s="29">
        <f>0.9*AsphaltBinderBase-0.01</f>
        <v>654.85699999999997</v>
      </c>
      <c r="G28" s="66">
        <f>-0.1*AsphaltBinderBase</f>
        <v>-72.763000000000005</v>
      </c>
      <c r="H28" s="9"/>
    </row>
    <row r="29" spans="1:8" x14ac:dyDescent="0.2">
      <c r="A29" s="9"/>
      <c r="B29" s="182"/>
      <c r="C29" s="48">
        <v>5</v>
      </c>
      <c r="D29" s="19">
        <v>10</v>
      </c>
      <c r="E29" s="29">
        <f>0.9*AsphaltBinderBase</f>
        <v>654.86699999999996</v>
      </c>
      <c r="F29" s="29">
        <f>0.95*AsphaltBinderBase-0.01</f>
        <v>691.23849999999993</v>
      </c>
      <c r="G29" s="66">
        <f>-0.05*AsphaltBinderBase</f>
        <v>-36.381500000000003</v>
      </c>
      <c r="H29" s="9"/>
    </row>
    <row r="30" spans="1:8" x14ac:dyDescent="0.2">
      <c r="A30" s="9"/>
      <c r="B30" s="183"/>
      <c r="C30" s="55">
        <v>0</v>
      </c>
      <c r="D30" s="54">
        <v>5</v>
      </c>
      <c r="E30" s="57">
        <f>0.95*AsphaltBinderBase</f>
        <v>691.24849999999992</v>
      </c>
      <c r="F30" s="57">
        <f>1*AsphaltBinderBase-0.01</f>
        <v>727.62</v>
      </c>
      <c r="G30" s="68">
        <f>0*AsphaltBinderBase</f>
        <v>0</v>
      </c>
      <c r="H30" s="9"/>
    </row>
    <row r="31" spans="1:8" x14ac:dyDescent="0.2">
      <c r="A31" s="9"/>
      <c r="B31" s="177" t="s">
        <v>54</v>
      </c>
      <c r="C31" s="61">
        <v>0</v>
      </c>
      <c r="D31" s="43">
        <v>5</v>
      </c>
      <c r="E31" s="62">
        <f>1*AsphaltBinderBase</f>
        <v>727.63</v>
      </c>
      <c r="F31" s="62">
        <f>1.05*AsphaltBinderBase</f>
        <v>764.01150000000007</v>
      </c>
      <c r="G31" s="64">
        <f>0*AsphaltBinderBase</f>
        <v>0</v>
      </c>
      <c r="H31" s="9"/>
    </row>
    <row r="32" spans="1:8" x14ac:dyDescent="0.2">
      <c r="A32" s="9"/>
      <c r="B32" s="178"/>
      <c r="C32" s="63">
        <v>5</v>
      </c>
      <c r="D32" s="19">
        <v>10</v>
      </c>
      <c r="E32" s="29">
        <f>1.05*AsphaltBinderBase+0.01</f>
        <v>764.02150000000006</v>
      </c>
      <c r="F32" s="29">
        <f>1.1*AsphaltBinderBase</f>
        <v>800.39300000000003</v>
      </c>
      <c r="G32" s="65">
        <f>0.05*AsphaltBinderBase</f>
        <v>36.381500000000003</v>
      </c>
      <c r="H32" s="9"/>
    </row>
    <row r="33" spans="1:8" x14ac:dyDescent="0.2">
      <c r="A33" s="9"/>
      <c r="B33" s="178"/>
      <c r="C33" s="63">
        <v>10</v>
      </c>
      <c r="D33" s="19">
        <v>15</v>
      </c>
      <c r="E33" s="29">
        <f>1.1*AsphaltBinderBase+0.01</f>
        <v>800.40300000000002</v>
      </c>
      <c r="F33" s="29">
        <f>1.15*AsphaltBinderBase</f>
        <v>836.77449999999988</v>
      </c>
      <c r="G33" s="66">
        <f>0.1*AsphaltBinderBase</f>
        <v>72.763000000000005</v>
      </c>
      <c r="H33" s="9"/>
    </row>
    <row r="34" spans="1:8" x14ac:dyDescent="0.2">
      <c r="A34" s="9"/>
      <c r="B34" s="178"/>
      <c r="C34" s="63">
        <v>15</v>
      </c>
      <c r="D34" s="19">
        <v>20</v>
      </c>
      <c r="E34" s="29">
        <f>1.15*AsphaltBinderBase+0.01</f>
        <v>836.78449999999987</v>
      </c>
      <c r="F34" s="29">
        <f>1.2*AsphaltBinderBase</f>
        <v>873.15599999999995</v>
      </c>
      <c r="G34" s="65">
        <f>0.15*AsphaltBinderBase</f>
        <v>109.14449999999999</v>
      </c>
      <c r="H34" s="9"/>
    </row>
    <row r="35" spans="1:8" x14ac:dyDescent="0.2">
      <c r="A35" s="9"/>
      <c r="B35" s="178"/>
      <c r="C35" s="63">
        <v>20</v>
      </c>
      <c r="D35" s="19">
        <v>25</v>
      </c>
      <c r="E35" s="29">
        <f>1.2*AsphaltBinderBase+0.01</f>
        <v>873.16599999999994</v>
      </c>
      <c r="F35" s="29">
        <f>1.25*AsphaltBinderBase</f>
        <v>909.53750000000002</v>
      </c>
      <c r="G35" s="66">
        <f>0.2*AsphaltBinderBase</f>
        <v>145.52600000000001</v>
      </c>
      <c r="H35" s="9"/>
    </row>
    <row r="36" spans="1:8" x14ac:dyDescent="0.2">
      <c r="A36" s="9"/>
      <c r="B36" s="178"/>
      <c r="C36" s="63">
        <v>25</v>
      </c>
      <c r="D36" s="19">
        <v>30</v>
      </c>
      <c r="E36" s="29">
        <f>1.25*AsphaltBinderBase+0.01</f>
        <v>909.54750000000001</v>
      </c>
      <c r="F36" s="29">
        <f>1.3*AsphaltBinderBase</f>
        <v>945.91899999999998</v>
      </c>
      <c r="G36" s="65">
        <f>0.25*AsphaltBinderBase</f>
        <v>181.9075</v>
      </c>
      <c r="H36" s="9"/>
    </row>
    <row r="37" spans="1:8" x14ac:dyDescent="0.2">
      <c r="A37" s="9"/>
      <c r="B37" s="178"/>
      <c r="C37" s="63">
        <v>30</v>
      </c>
      <c r="D37" s="19">
        <v>35</v>
      </c>
      <c r="E37" s="29">
        <f>1.3*AsphaltBinderBase+0.01</f>
        <v>945.92899999999997</v>
      </c>
      <c r="F37" s="29">
        <f>1.35*AsphaltBinderBase</f>
        <v>982.30050000000006</v>
      </c>
      <c r="G37" s="66">
        <f>0.3*AsphaltBinderBase</f>
        <v>218.28899999999999</v>
      </c>
      <c r="H37" s="9"/>
    </row>
    <row r="38" spans="1:8" x14ac:dyDescent="0.2">
      <c r="A38" s="9"/>
      <c r="B38" s="178"/>
      <c r="C38" s="63">
        <v>35</v>
      </c>
      <c r="D38" s="19">
        <v>40</v>
      </c>
      <c r="E38" s="29">
        <f>1.35*AsphaltBinderBase+0.01</f>
        <v>982.31050000000005</v>
      </c>
      <c r="F38" s="29">
        <f>1.4*AsphaltBinderBase</f>
        <v>1018.6819999999999</v>
      </c>
      <c r="G38" s="65">
        <f>0.35*AsphaltBinderBase</f>
        <v>254.67049999999998</v>
      </c>
      <c r="H38" s="9"/>
    </row>
    <row r="39" spans="1:8" x14ac:dyDescent="0.2">
      <c r="A39" s="9"/>
      <c r="B39" s="178"/>
      <c r="C39" s="63">
        <v>40</v>
      </c>
      <c r="D39" s="19">
        <v>45</v>
      </c>
      <c r="E39" s="29">
        <f>1.4*AsphaltBinderBase+0.01</f>
        <v>1018.6919999999999</v>
      </c>
      <c r="F39" s="29">
        <f>1.45*AsphaltBinderBase</f>
        <v>1055.0635</v>
      </c>
      <c r="G39" s="66">
        <f>0.4*AsphaltBinderBase</f>
        <v>291.05200000000002</v>
      </c>
      <c r="H39" s="9"/>
    </row>
    <row r="40" spans="1:8" x14ac:dyDescent="0.2">
      <c r="A40" s="9"/>
      <c r="B40" s="178"/>
      <c r="C40" s="63">
        <v>45</v>
      </c>
      <c r="D40" s="19">
        <v>50</v>
      </c>
      <c r="E40" s="29">
        <f>1.45*AsphaltBinderBase+0.01</f>
        <v>1055.0735</v>
      </c>
      <c r="F40" s="29">
        <f>1.5*AsphaltBinderBase</f>
        <v>1091.4449999999999</v>
      </c>
      <c r="G40" s="65">
        <f>0.45*AsphaltBinderBase</f>
        <v>327.43349999999998</v>
      </c>
      <c r="H40" s="9"/>
    </row>
    <row r="41" spans="1:8" x14ac:dyDescent="0.2">
      <c r="A41" s="9"/>
      <c r="B41" s="178"/>
      <c r="C41" s="63">
        <v>50</v>
      </c>
      <c r="D41" s="19">
        <v>55</v>
      </c>
      <c r="E41" s="29">
        <f>1.5*AsphaltBinderBase+0.01</f>
        <v>1091.4549999999999</v>
      </c>
      <c r="F41" s="29">
        <f>1.55*AsphaltBinderBase</f>
        <v>1127.8265000000001</v>
      </c>
      <c r="G41" s="66">
        <f>0.5*AsphaltBinderBase</f>
        <v>363.815</v>
      </c>
      <c r="H41" s="9"/>
    </row>
    <row r="42" spans="1:8" x14ac:dyDescent="0.2">
      <c r="A42" s="9"/>
      <c r="B42" s="178"/>
      <c r="C42" s="63">
        <v>55</v>
      </c>
      <c r="D42" s="19">
        <v>60</v>
      </c>
      <c r="E42" s="29">
        <f>1.55*AsphaltBinderBase+0.01</f>
        <v>1127.8365000000001</v>
      </c>
      <c r="F42" s="29">
        <f>1.6*AsphaltBinderBase</f>
        <v>1164.2080000000001</v>
      </c>
      <c r="G42" s="65">
        <f>0.55*AsphaltBinderBase</f>
        <v>400.19650000000001</v>
      </c>
      <c r="H42" s="9"/>
    </row>
    <row r="43" spans="1:8" x14ac:dyDescent="0.2">
      <c r="A43" s="9"/>
      <c r="B43" s="178"/>
      <c r="C43" s="63">
        <v>60</v>
      </c>
      <c r="D43" s="19">
        <v>65</v>
      </c>
      <c r="E43" s="29">
        <f>1.6*AsphaltBinderBase+0.01</f>
        <v>1164.2180000000001</v>
      </c>
      <c r="F43" s="29">
        <f>1.65*AsphaltBinderBase</f>
        <v>1200.5894999999998</v>
      </c>
      <c r="G43" s="66">
        <f>0.6*AsphaltBinderBase</f>
        <v>436.57799999999997</v>
      </c>
      <c r="H43" s="9"/>
    </row>
    <row r="44" spans="1:8" x14ac:dyDescent="0.2">
      <c r="A44" s="9"/>
      <c r="B44" s="178"/>
      <c r="C44" s="63">
        <v>65</v>
      </c>
      <c r="D44" s="19">
        <v>70</v>
      </c>
      <c r="E44" s="29">
        <f>1.65*AsphaltBinderBase+0.01</f>
        <v>1200.5994999999998</v>
      </c>
      <c r="F44" s="29">
        <f>1.7*AsphaltBinderBase</f>
        <v>1236.971</v>
      </c>
      <c r="G44" s="65">
        <f>0.65*AsphaltBinderBase</f>
        <v>472.95949999999999</v>
      </c>
      <c r="H44" s="9"/>
    </row>
    <row r="45" spans="1:8" x14ac:dyDescent="0.2">
      <c r="A45" s="9"/>
      <c r="B45" s="178"/>
      <c r="C45" s="63">
        <v>70</v>
      </c>
      <c r="D45" s="19">
        <v>75</v>
      </c>
      <c r="E45" s="29">
        <f>1.7*AsphaltBinderBase+0.01</f>
        <v>1236.981</v>
      </c>
      <c r="F45" s="29">
        <f>1.75*AsphaltBinderBase</f>
        <v>1273.3525</v>
      </c>
      <c r="G45" s="66">
        <f>0.7*AsphaltBinderBase</f>
        <v>509.34099999999995</v>
      </c>
      <c r="H45" s="9"/>
    </row>
    <row r="46" spans="1:8" x14ac:dyDescent="0.2">
      <c r="A46" s="9"/>
      <c r="B46" s="178"/>
      <c r="C46" s="63">
        <v>75</v>
      </c>
      <c r="D46" s="19">
        <v>80</v>
      </c>
      <c r="E46" s="29">
        <f>1.75*AsphaltBinderBase+0.01</f>
        <v>1273.3625</v>
      </c>
      <c r="F46" s="29">
        <f>1.8*AsphaltBinderBase</f>
        <v>1309.7339999999999</v>
      </c>
      <c r="G46" s="65">
        <f>0.75*AsphaltBinderBase</f>
        <v>545.72249999999997</v>
      </c>
      <c r="H46" s="9"/>
    </row>
    <row r="47" spans="1:8" x14ac:dyDescent="0.2">
      <c r="A47" s="9"/>
      <c r="B47" s="178"/>
      <c r="C47" s="63">
        <v>80</v>
      </c>
      <c r="D47" s="19">
        <v>85</v>
      </c>
      <c r="E47" s="29">
        <f>1.8*AsphaltBinderBase+0.01</f>
        <v>1309.7439999999999</v>
      </c>
      <c r="F47" s="29">
        <f>1.85*AsphaltBinderBase</f>
        <v>1346.1155000000001</v>
      </c>
      <c r="G47" s="66">
        <f>0.8*AsphaltBinderBase</f>
        <v>582.10400000000004</v>
      </c>
      <c r="H47" s="9"/>
    </row>
    <row r="48" spans="1:8" x14ac:dyDescent="0.2">
      <c r="A48" s="9"/>
      <c r="B48" s="178"/>
      <c r="C48" s="63">
        <v>85</v>
      </c>
      <c r="D48" s="19">
        <v>90</v>
      </c>
      <c r="E48" s="29">
        <f>1.85*AsphaltBinderBase+0.01</f>
        <v>1346.1255000000001</v>
      </c>
      <c r="F48" s="29">
        <f>1.9*AsphaltBinderBase</f>
        <v>1382.4969999999998</v>
      </c>
      <c r="G48" s="65">
        <f>0.85*AsphaltBinderBase</f>
        <v>618.4855</v>
      </c>
      <c r="H48" s="9"/>
    </row>
    <row r="49" spans="1:8" x14ac:dyDescent="0.2">
      <c r="A49" s="9"/>
      <c r="B49" s="178"/>
      <c r="C49" s="63">
        <v>90</v>
      </c>
      <c r="D49" s="19">
        <v>95</v>
      </c>
      <c r="E49" s="29">
        <f>1.9*AsphaltBinderBase+0.01</f>
        <v>1382.5069999999998</v>
      </c>
      <c r="F49" s="29">
        <f>1.95*AsphaltBinderBase</f>
        <v>1418.8785</v>
      </c>
      <c r="G49" s="66">
        <f>0.9*AsphaltBinderBase</f>
        <v>654.86699999999996</v>
      </c>
      <c r="H49" s="9"/>
    </row>
    <row r="50" spans="1:8" x14ac:dyDescent="0.2">
      <c r="A50" s="9"/>
      <c r="B50" s="178"/>
      <c r="C50" s="63">
        <v>95</v>
      </c>
      <c r="D50" s="19">
        <v>100</v>
      </c>
      <c r="E50" s="29">
        <f>1.95*AsphaltBinderBase+0.01</f>
        <v>1418.8885</v>
      </c>
      <c r="F50" s="29">
        <f>2*AsphaltBinderBase</f>
        <v>1455.26</v>
      </c>
      <c r="G50" s="65">
        <f>0.95*AsphaltBinderBase</f>
        <v>691.24849999999992</v>
      </c>
      <c r="H50" s="9"/>
    </row>
    <row r="51" spans="1:8" x14ac:dyDescent="0.2">
      <c r="A51" s="9"/>
      <c r="B51" s="178"/>
      <c r="C51" s="63">
        <v>100</v>
      </c>
      <c r="D51" s="19">
        <v>105</v>
      </c>
      <c r="E51" s="29">
        <f>2*AsphaltBinderBase+0.01</f>
        <v>1455.27</v>
      </c>
      <c r="F51" s="29">
        <f>2.05*AsphaltBinderBase</f>
        <v>1491.6415</v>
      </c>
      <c r="G51" s="66">
        <f>1*AsphaltBinderBase</f>
        <v>727.63</v>
      </c>
      <c r="H51" s="9"/>
    </row>
    <row r="52" spans="1:8" x14ac:dyDescent="0.2">
      <c r="A52" s="9"/>
      <c r="B52" s="178"/>
      <c r="C52" s="63">
        <v>105</v>
      </c>
      <c r="D52" s="19">
        <v>110</v>
      </c>
      <c r="E52" s="29">
        <f>2.05*AsphaltBinderBase+0.01</f>
        <v>1491.6514999999999</v>
      </c>
      <c r="F52" s="29">
        <f>2.1*AsphaltBinderBase</f>
        <v>1528.0230000000001</v>
      </c>
      <c r="G52" s="65">
        <f>1.05*AsphaltBinderBase</f>
        <v>764.01150000000007</v>
      </c>
      <c r="H52" s="9"/>
    </row>
    <row r="53" spans="1:8" x14ac:dyDescent="0.2">
      <c r="A53" s="9"/>
      <c r="B53" s="178"/>
      <c r="C53" s="63">
        <v>110</v>
      </c>
      <c r="D53" s="19">
        <v>115</v>
      </c>
      <c r="E53" s="29">
        <f>2.1*AsphaltBinderBase+0.01</f>
        <v>1528.0330000000001</v>
      </c>
      <c r="F53" s="29">
        <f>2.15*AsphaltBinderBase</f>
        <v>1564.4044999999999</v>
      </c>
      <c r="G53" s="66">
        <f>1.1*AsphaltBinderBase</f>
        <v>800.39300000000003</v>
      </c>
      <c r="H53" s="9"/>
    </row>
    <row r="54" spans="1:8" x14ac:dyDescent="0.2">
      <c r="A54" s="9"/>
      <c r="B54" s="178"/>
      <c r="C54" s="63">
        <v>115</v>
      </c>
      <c r="D54" s="19">
        <v>120</v>
      </c>
      <c r="E54" s="29">
        <f>2.15*AsphaltBinderBase+0.01</f>
        <v>1564.4144999999999</v>
      </c>
      <c r="F54" s="29">
        <f>2.2*AsphaltBinderBase</f>
        <v>1600.7860000000001</v>
      </c>
      <c r="G54" s="65">
        <f>1.15*AsphaltBinderBase</f>
        <v>836.77449999999988</v>
      </c>
      <c r="H54" s="9"/>
    </row>
    <row r="55" spans="1:8" x14ac:dyDescent="0.2">
      <c r="A55" s="9"/>
      <c r="B55" s="178"/>
      <c r="C55" s="63">
        <v>120</v>
      </c>
      <c r="D55" s="19">
        <v>125</v>
      </c>
      <c r="E55" s="29">
        <f>2.2*AsphaltBinderBase+0.01</f>
        <v>1600.796</v>
      </c>
      <c r="F55" s="29">
        <f>2.25*AsphaltBinderBase</f>
        <v>1637.1675</v>
      </c>
      <c r="G55" s="66">
        <f>1.2*AsphaltBinderBase</f>
        <v>873.15599999999995</v>
      </c>
      <c r="H55" s="9"/>
    </row>
    <row r="56" spans="1:8" x14ac:dyDescent="0.2">
      <c r="A56" s="9"/>
      <c r="B56" s="178"/>
      <c r="C56" s="63">
        <v>125</v>
      </c>
      <c r="D56" s="19">
        <v>130</v>
      </c>
      <c r="E56" s="29">
        <f>2.25*AsphaltBinderBase+0.01</f>
        <v>1637.1775</v>
      </c>
      <c r="F56" s="29">
        <f>2.3*AsphaltBinderBase</f>
        <v>1673.5489999999998</v>
      </c>
      <c r="G56" s="65">
        <f>1.25*AsphaltBinderBase</f>
        <v>909.53750000000002</v>
      </c>
      <c r="H56" s="9"/>
    </row>
    <row r="57" spans="1:8" x14ac:dyDescent="0.2">
      <c r="A57" s="9"/>
      <c r="B57" s="178"/>
      <c r="C57" s="63">
        <v>130</v>
      </c>
      <c r="D57" s="19">
        <v>135</v>
      </c>
      <c r="E57" s="29">
        <f>2.3*AsphaltBinderBase+0.01</f>
        <v>1673.5589999999997</v>
      </c>
      <c r="F57" s="29">
        <f>2.35*AsphaltBinderBase</f>
        <v>1709.9305000000002</v>
      </c>
      <c r="G57" s="66">
        <f>1.3*AsphaltBinderBase</f>
        <v>945.91899999999998</v>
      </c>
      <c r="H57" s="9"/>
    </row>
    <row r="58" spans="1:8" x14ac:dyDescent="0.2">
      <c r="A58" s="9"/>
      <c r="B58" s="178"/>
      <c r="C58" s="63">
        <v>135</v>
      </c>
      <c r="D58" s="19">
        <v>140</v>
      </c>
      <c r="E58" s="29">
        <f>2.35*AsphaltBinderBase+0.01</f>
        <v>1709.9405000000002</v>
      </c>
      <c r="F58" s="29">
        <f>2.4*AsphaltBinderBase</f>
        <v>1746.3119999999999</v>
      </c>
      <c r="G58" s="65">
        <f>1.35*AsphaltBinderBase</f>
        <v>982.30050000000006</v>
      </c>
      <c r="H58" s="9"/>
    </row>
    <row r="59" spans="1:8" x14ac:dyDescent="0.2">
      <c r="A59" s="9"/>
      <c r="B59" s="178"/>
      <c r="C59" s="63">
        <v>140</v>
      </c>
      <c r="D59" s="19">
        <v>145</v>
      </c>
      <c r="E59" s="29">
        <f>2.4*AsphaltBinderBase+0.01</f>
        <v>1746.3219999999999</v>
      </c>
      <c r="F59" s="29">
        <f>2.45*AsphaltBinderBase</f>
        <v>1782.6935000000001</v>
      </c>
      <c r="G59" s="66">
        <f>1.4*AsphaltBinderBase</f>
        <v>1018.6819999999999</v>
      </c>
      <c r="H59" s="9"/>
    </row>
    <row r="60" spans="1:8" x14ac:dyDescent="0.2">
      <c r="A60" s="9"/>
      <c r="B60" s="178"/>
      <c r="C60" s="63">
        <v>145</v>
      </c>
      <c r="D60" s="19">
        <v>150</v>
      </c>
      <c r="E60" s="29">
        <f>2.45*AsphaltBinderBase+0.01</f>
        <v>1782.7035000000001</v>
      </c>
      <c r="F60" s="29">
        <f>2.5*AsphaltBinderBase</f>
        <v>1819.075</v>
      </c>
      <c r="G60" s="65">
        <f>1.45*AsphaltBinderBase</f>
        <v>1055.0635</v>
      </c>
      <c r="H60" s="9"/>
    </row>
    <row r="61" spans="1:8" x14ac:dyDescent="0.2">
      <c r="A61" s="9"/>
      <c r="B61" s="178"/>
      <c r="C61" s="63">
        <v>150</v>
      </c>
      <c r="D61" s="19">
        <v>155</v>
      </c>
      <c r="E61" s="29">
        <f>2.5*AsphaltBinderBase+0.01</f>
        <v>1819.085</v>
      </c>
      <c r="F61" s="29">
        <f>2.55*AsphaltBinderBase</f>
        <v>1855.4564999999998</v>
      </c>
      <c r="G61" s="66">
        <f>1.5*AsphaltBinderBase</f>
        <v>1091.4449999999999</v>
      </c>
      <c r="H61" s="9"/>
    </row>
    <row r="62" spans="1:8" x14ac:dyDescent="0.2">
      <c r="A62" s="9"/>
      <c r="B62" s="178"/>
      <c r="C62" s="63">
        <v>155</v>
      </c>
      <c r="D62" s="19">
        <v>160</v>
      </c>
      <c r="E62" s="29">
        <f>2.55*AsphaltBinderBase+0.01</f>
        <v>1855.4664999999998</v>
      </c>
      <c r="F62" s="29">
        <f>2.6*AsphaltBinderBase</f>
        <v>1891.838</v>
      </c>
      <c r="G62" s="65">
        <f>1.55*AsphaltBinderBase</f>
        <v>1127.8265000000001</v>
      </c>
      <c r="H62" s="9"/>
    </row>
    <row r="63" spans="1:8" x14ac:dyDescent="0.2">
      <c r="A63" s="9"/>
      <c r="B63" s="178"/>
      <c r="C63" s="63">
        <v>160</v>
      </c>
      <c r="D63" s="19">
        <v>165</v>
      </c>
      <c r="E63" s="29">
        <f>2.6*AsphaltBinderBase+0.01</f>
        <v>1891.848</v>
      </c>
      <c r="F63" s="29">
        <f>2.65*AsphaltBinderBase</f>
        <v>1928.2194999999999</v>
      </c>
      <c r="G63" s="66">
        <f>1.6*AsphaltBinderBase</f>
        <v>1164.2080000000001</v>
      </c>
      <c r="H63" s="9"/>
    </row>
    <row r="64" spans="1:8" x14ac:dyDescent="0.2">
      <c r="A64" s="9"/>
      <c r="B64" s="178"/>
      <c r="C64" s="63">
        <v>165</v>
      </c>
      <c r="D64" s="19">
        <v>170</v>
      </c>
      <c r="E64" s="29">
        <f>2.65*AsphaltBinderBase+0.01</f>
        <v>1928.2294999999999</v>
      </c>
      <c r="F64" s="29">
        <f>2.7*AsphaltBinderBase</f>
        <v>1964.6010000000001</v>
      </c>
      <c r="G64" s="65">
        <f>1.65*AsphaltBinderBase</f>
        <v>1200.5894999999998</v>
      </c>
      <c r="H64" s="9"/>
    </row>
    <row r="65" spans="1:8" x14ac:dyDescent="0.2">
      <c r="A65" s="9"/>
      <c r="B65" s="178"/>
      <c r="C65" s="63">
        <v>170</v>
      </c>
      <c r="D65" s="19">
        <v>175</v>
      </c>
      <c r="E65" s="29">
        <f>2.7*AsphaltBinderBase+0.01</f>
        <v>1964.6110000000001</v>
      </c>
      <c r="F65" s="29">
        <f>2.75*AsphaltBinderBase</f>
        <v>2000.9825000000001</v>
      </c>
      <c r="G65" s="66">
        <f>1.7*AsphaltBinderBase</f>
        <v>1236.971</v>
      </c>
      <c r="H65" s="9"/>
    </row>
    <row r="66" spans="1:8" x14ac:dyDescent="0.2">
      <c r="A66" s="9"/>
      <c r="B66" s="178"/>
      <c r="C66" s="63">
        <v>175</v>
      </c>
      <c r="D66" s="19">
        <v>180</v>
      </c>
      <c r="E66" s="29">
        <f>2.75*AsphaltBinderBase+0.01</f>
        <v>2000.9925000000001</v>
      </c>
      <c r="F66" s="29">
        <f>2.8*AsphaltBinderBase</f>
        <v>2037.3639999999998</v>
      </c>
      <c r="G66" s="65">
        <f>1.75*AsphaltBinderBase</f>
        <v>1273.3525</v>
      </c>
      <c r="H66" s="9"/>
    </row>
    <row r="67" spans="1:8" x14ac:dyDescent="0.2">
      <c r="A67" s="9"/>
      <c r="B67" s="178"/>
      <c r="C67" s="63">
        <v>180</v>
      </c>
      <c r="D67" s="19">
        <v>185</v>
      </c>
      <c r="E67" s="29">
        <f>2.8*AsphaltBinderBase+0.01</f>
        <v>2037.3739999999998</v>
      </c>
      <c r="F67" s="29">
        <f>2.85*AsphaltBinderBase</f>
        <v>2073.7455</v>
      </c>
      <c r="G67" s="66">
        <f>1.8*AsphaltBinderBase</f>
        <v>1309.7339999999999</v>
      </c>
      <c r="H67" s="9"/>
    </row>
    <row r="68" spans="1:8" x14ac:dyDescent="0.2">
      <c r="A68" s="9"/>
      <c r="B68" s="178"/>
      <c r="C68" s="63">
        <v>185</v>
      </c>
      <c r="D68" s="19">
        <v>190</v>
      </c>
      <c r="E68" s="29">
        <f>2.85*AsphaltBinderBase+0.01</f>
        <v>2073.7555000000002</v>
      </c>
      <c r="F68" s="29">
        <f>2.9*AsphaltBinderBase</f>
        <v>2110.127</v>
      </c>
      <c r="G68" s="65">
        <f>1.85*AsphaltBinderBase</f>
        <v>1346.1155000000001</v>
      </c>
      <c r="H68" s="9"/>
    </row>
    <row r="69" spans="1:8" x14ac:dyDescent="0.2">
      <c r="A69" s="9"/>
      <c r="B69" s="178"/>
      <c r="C69" s="63">
        <v>190</v>
      </c>
      <c r="D69" s="19">
        <v>195</v>
      </c>
      <c r="E69" s="29">
        <f>2.9*AsphaltBinderBase+0.01</f>
        <v>2110.1370000000002</v>
      </c>
      <c r="F69" s="29">
        <f>2.95*AsphaltBinderBase</f>
        <v>2146.5084999999999</v>
      </c>
      <c r="G69" s="66">
        <f>1.9*AsphaltBinderBase</f>
        <v>1382.4969999999998</v>
      </c>
      <c r="H69" s="9"/>
    </row>
    <row r="70" spans="1:8" x14ac:dyDescent="0.2">
      <c r="A70" s="9"/>
      <c r="B70" s="178"/>
      <c r="C70" s="63">
        <v>195</v>
      </c>
      <c r="D70" s="19">
        <v>200</v>
      </c>
      <c r="E70" s="29">
        <f>2.95*AsphaltBinderBase+0.01</f>
        <v>2146.5185000000001</v>
      </c>
      <c r="F70" s="29">
        <f>3*AsphaltBinderBase</f>
        <v>2182.89</v>
      </c>
      <c r="G70" s="67">
        <f>1.95*AsphaltBinderBase</f>
        <v>1418.8785</v>
      </c>
      <c r="H70" s="9"/>
    </row>
    <row r="71" spans="1:8" x14ac:dyDescent="0.2">
      <c r="A71" s="9"/>
      <c r="B71" s="179"/>
      <c r="C71" s="63">
        <v>200</v>
      </c>
      <c r="D71" s="19">
        <v>205</v>
      </c>
      <c r="E71" s="29">
        <f>3*AsphaltBinderBase+0.01</f>
        <v>2182.9</v>
      </c>
      <c r="F71" s="29">
        <f>3.05*AsphaltBinderBase</f>
        <v>2219.2714999999998</v>
      </c>
      <c r="G71" s="67">
        <f>2*AsphaltBinderBase</f>
        <v>1455.26</v>
      </c>
      <c r="H71" s="9"/>
    </row>
    <row r="72" spans="1:8" x14ac:dyDescent="0.2">
      <c r="A72" s="9"/>
      <c r="B72" s="179"/>
      <c r="C72" s="63">
        <v>205</v>
      </c>
      <c r="D72" s="19">
        <v>210</v>
      </c>
      <c r="E72" s="29">
        <f>3.05*AsphaltBinderBase+0.01</f>
        <v>2219.2815000000001</v>
      </c>
      <c r="F72" s="29">
        <f>3.1*AsphaltBinderBase</f>
        <v>2255.6530000000002</v>
      </c>
      <c r="G72" s="67">
        <f>2.05*AsphaltBinderBase</f>
        <v>1491.6415</v>
      </c>
      <c r="H72" s="9"/>
    </row>
    <row r="73" spans="1:8" x14ac:dyDescent="0.2">
      <c r="A73" s="9"/>
      <c r="B73" s="179"/>
      <c r="C73" s="63">
        <v>210</v>
      </c>
      <c r="D73" s="19">
        <v>215</v>
      </c>
      <c r="E73" s="29">
        <f>3.1*AsphaltBinderBase+0.01</f>
        <v>2255.6630000000005</v>
      </c>
      <c r="F73" s="29">
        <f>3.15*AsphaltBinderBase</f>
        <v>2292.0344999999998</v>
      </c>
      <c r="G73" s="67">
        <f>2.1*AsphaltBinderBase</f>
        <v>1528.0230000000001</v>
      </c>
      <c r="H73" s="9"/>
    </row>
    <row r="74" spans="1:8" x14ac:dyDescent="0.2">
      <c r="A74" s="9"/>
      <c r="B74" s="179"/>
      <c r="C74" s="63">
        <v>215</v>
      </c>
      <c r="D74" s="19">
        <v>220</v>
      </c>
      <c r="E74" s="29">
        <f>3.15*AsphaltBinderBase+0.01</f>
        <v>2292.0445</v>
      </c>
      <c r="F74" s="29">
        <f>3.2*AsphaltBinderBase</f>
        <v>2328.4160000000002</v>
      </c>
      <c r="G74" s="67">
        <f>2.15*AsphaltBinderBase</f>
        <v>1564.4044999999999</v>
      </c>
      <c r="H74" s="9"/>
    </row>
    <row r="75" spans="1:8" x14ac:dyDescent="0.2">
      <c r="A75" s="9"/>
      <c r="B75" s="179"/>
      <c r="C75" s="63">
        <v>220</v>
      </c>
      <c r="D75" s="19">
        <v>225</v>
      </c>
      <c r="E75" s="29">
        <f>3.2*AsphaltBinderBase+0.01</f>
        <v>2328.4260000000004</v>
      </c>
      <c r="F75" s="29">
        <f>3.25*AsphaltBinderBase</f>
        <v>2364.7975000000001</v>
      </c>
      <c r="G75" s="67">
        <f>2.2*AsphaltBinderBase</f>
        <v>1600.7860000000001</v>
      </c>
      <c r="H75" s="9"/>
    </row>
    <row r="76" spans="1:8" x14ac:dyDescent="0.2">
      <c r="A76" s="9"/>
      <c r="B76" s="179"/>
      <c r="C76" s="63">
        <v>225</v>
      </c>
      <c r="D76" s="19">
        <v>230</v>
      </c>
      <c r="E76" s="29">
        <f>3.25*AsphaltBinderBase+0.01</f>
        <v>2364.8075000000003</v>
      </c>
      <c r="F76" s="29">
        <f>3.3*AsphaltBinderBase</f>
        <v>2401.1789999999996</v>
      </c>
      <c r="G76" s="67">
        <f>2.25*AsphaltBinderBase</f>
        <v>1637.1675</v>
      </c>
      <c r="H76" s="9"/>
    </row>
    <row r="77" spans="1:8" x14ac:dyDescent="0.2">
      <c r="A77" s="9"/>
      <c r="B77" s="179"/>
      <c r="C77" s="63">
        <v>230</v>
      </c>
      <c r="D77" s="19">
        <v>235</v>
      </c>
      <c r="E77" s="29">
        <f>3.3*AsphaltBinderBase+0.01</f>
        <v>2401.1889999999999</v>
      </c>
      <c r="F77" s="29">
        <f>3.35*AsphaltBinderBase</f>
        <v>2437.5605</v>
      </c>
      <c r="G77" s="67">
        <f>2.3*AsphaltBinderBase</f>
        <v>1673.5489999999998</v>
      </c>
      <c r="H77" s="9"/>
    </row>
    <row r="78" spans="1:8" x14ac:dyDescent="0.2">
      <c r="A78" s="9"/>
      <c r="B78" s="179"/>
      <c r="C78" s="63">
        <v>235</v>
      </c>
      <c r="D78" s="19">
        <v>240</v>
      </c>
      <c r="E78" s="29">
        <f>3.35*AsphaltBinderBase+0.01</f>
        <v>2437.5705000000003</v>
      </c>
      <c r="F78" s="29">
        <f>3.4*AsphaltBinderBase</f>
        <v>2473.942</v>
      </c>
      <c r="G78" s="67">
        <f>2.35*AsphaltBinderBase</f>
        <v>1709.9305000000002</v>
      </c>
      <c r="H78" s="9"/>
    </row>
    <row r="79" spans="1:8" x14ac:dyDescent="0.2">
      <c r="A79" s="9"/>
      <c r="B79" s="179"/>
      <c r="C79" s="63">
        <v>240</v>
      </c>
      <c r="D79" s="19">
        <v>245</v>
      </c>
      <c r="E79" s="29">
        <f>3.4*AsphaltBinderBase+0.01</f>
        <v>2473.9520000000002</v>
      </c>
      <c r="F79" s="29">
        <f>3.45*AsphaltBinderBase</f>
        <v>2510.3235</v>
      </c>
      <c r="G79" s="67">
        <f>2.4*AsphaltBinderBase</f>
        <v>1746.3119999999999</v>
      </c>
      <c r="H79" s="9"/>
    </row>
    <row r="80" spans="1:8" x14ac:dyDescent="0.2">
      <c r="A80" s="9"/>
      <c r="B80" s="179"/>
      <c r="C80" s="63">
        <v>245</v>
      </c>
      <c r="D80" s="19">
        <v>250</v>
      </c>
      <c r="E80" s="29">
        <f>3.45*AsphaltBinderBase+0.01</f>
        <v>2510.3335000000002</v>
      </c>
      <c r="F80" s="29">
        <f>3.5*AsphaltBinderBase</f>
        <v>2546.7049999999999</v>
      </c>
      <c r="G80" s="67">
        <f>2.45*AsphaltBinderBase</f>
        <v>1782.6935000000001</v>
      </c>
      <c r="H80" s="9"/>
    </row>
    <row r="81" spans="1:8" x14ac:dyDescent="0.2">
      <c r="A81" s="9"/>
      <c r="B81" s="179"/>
      <c r="C81" s="63">
        <v>250</v>
      </c>
      <c r="D81" s="19">
        <v>255</v>
      </c>
      <c r="E81" s="29">
        <f>3.5*AsphaltBinderBase+0.01</f>
        <v>2546.7150000000001</v>
      </c>
      <c r="F81" s="29">
        <f>3.55*AsphaltBinderBase</f>
        <v>2583.0864999999999</v>
      </c>
      <c r="G81" s="67">
        <f>2.5*AsphaltBinderBase</f>
        <v>1819.075</v>
      </c>
      <c r="H81" s="9"/>
    </row>
    <row r="82" spans="1:8" x14ac:dyDescent="0.2">
      <c r="A82" s="9"/>
      <c r="B82" s="179"/>
      <c r="C82" s="63">
        <v>255</v>
      </c>
      <c r="D82" s="19">
        <v>260</v>
      </c>
      <c r="E82" s="29">
        <f>3.55*AsphaltBinderBase+0.01</f>
        <v>2583.0965000000001</v>
      </c>
      <c r="F82" s="29">
        <f>3.6*AsphaltBinderBase</f>
        <v>2619.4679999999998</v>
      </c>
      <c r="G82" s="67">
        <f>2.55*AsphaltBinderBase</f>
        <v>1855.4564999999998</v>
      </c>
      <c r="H82" s="9"/>
    </row>
    <row r="83" spans="1:8" x14ac:dyDescent="0.2">
      <c r="A83" s="9"/>
      <c r="B83" s="179"/>
      <c r="C83" s="63">
        <v>260</v>
      </c>
      <c r="D83" s="19">
        <v>265</v>
      </c>
      <c r="E83" s="29">
        <f>3.6*AsphaltBinderBase+0.01</f>
        <v>2619.4780000000001</v>
      </c>
      <c r="F83" s="29">
        <f>3.65*AsphaltBinderBase</f>
        <v>2655.8494999999998</v>
      </c>
      <c r="G83" s="67">
        <f>2.6*AsphaltBinderBase</f>
        <v>1891.838</v>
      </c>
      <c r="H83" s="9"/>
    </row>
    <row r="84" spans="1:8" x14ac:dyDescent="0.2">
      <c r="A84" s="9"/>
      <c r="B84" s="179"/>
      <c r="C84" s="63">
        <v>265</v>
      </c>
      <c r="D84" s="19">
        <v>270</v>
      </c>
      <c r="E84" s="29">
        <f>3.65*AsphaltBinderBase+0.01</f>
        <v>2655.8595</v>
      </c>
      <c r="F84" s="29">
        <f>3.7*AsphaltBinderBase</f>
        <v>2692.2310000000002</v>
      </c>
      <c r="G84" s="67">
        <f>2.65*AsphaltBinderBase</f>
        <v>1928.2194999999999</v>
      </c>
      <c r="H84" s="9"/>
    </row>
    <row r="85" spans="1:8" x14ac:dyDescent="0.2">
      <c r="A85" s="9"/>
      <c r="B85" s="179"/>
      <c r="C85" s="63">
        <v>270</v>
      </c>
      <c r="D85" s="19">
        <v>275</v>
      </c>
      <c r="E85" s="29">
        <f>3.7*AsphaltBinderBase+0.01</f>
        <v>2692.2410000000004</v>
      </c>
      <c r="F85" s="29">
        <f>3.75*AsphaltBinderBase</f>
        <v>2728.6125000000002</v>
      </c>
      <c r="G85" s="67">
        <f>2.7*AsphaltBinderBase</f>
        <v>1964.6010000000001</v>
      </c>
      <c r="H85" s="9"/>
    </row>
    <row r="86" spans="1:8" x14ac:dyDescent="0.2">
      <c r="A86" s="9"/>
      <c r="B86" s="179"/>
      <c r="C86" s="63">
        <v>275</v>
      </c>
      <c r="D86" s="19">
        <v>280</v>
      </c>
      <c r="E86" s="29">
        <f>3.75*AsphaltBinderBase+0.01</f>
        <v>2728.6225000000004</v>
      </c>
      <c r="F86" s="29">
        <f>3.8*AsphaltBinderBase</f>
        <v>2764.9939999999997</v>
      </c>
      <c r="G86" s="67">
        <f>2.75*AsphaltBinderBase</f>
        <v>2000.9825000000001</v>
      </c>
      <c r="H86" s="9"/>
    </row>
    <row r="87" spans="1:8" x14ac:dyDescent="0.2">
      <c r="A87" s="9"/>
      <c r="B87" s="179"/>
      <c r="C87" s="63">
        <v>280</v>
      </c>
      <c r="D87" s="19">
        <v>285</v>
      </c>
      <c r="E87" s="29">
        <f>3.8*AsphaltBinderBase+0.01</f>
        <v>2765.0039999999999</v>
      </c>
      <c r="F87" s="29">
        <f>3.85*AsphaltBinderBase</f>
        <v>2801.3755000000001</v>
      </c>
      <c r="G87" s="67">
        <f>2.8*AsphaltBinderBase</f>
        <v>2037.3639999999998</v>
      </c>
      <c r="H87" s="9"/>
    </row>
    <row r="88" spans="1:8" x14ac:dyDescent="0.2">
      <c r="A88" s="9"/>
      <c r="B88" s="179"/>
      <c r="C88" s="63">
        <v>285</v>
      </c>
      <c r="D88" s="19">
        <v>290</v>
      </c>
      <c r="E88" s="29">
        <f>3.85*AsphaltBinderBase+0.01</f>
        <v>2801.3855000000003</v>
      </c>
      <c r="F88" s="29">
        <f>3.9*AsphaltBinderBase</f>
        <v>2837.7570000000001</v>
      </c>
      <c r="G88" s="67">
        <f>2.85*AsphaltBinderBase</f>
        <v>2073.7455</v>
      </c>
      <c r="H88" s="9"/>
    </row>
    <row r="89" spans="1:8" x14ac:dyDescent="0.2">
      <c r="A89" s="9"/>
      <c r="B89" s="179"/>
      <c r="C89" s="63">
        <v>290</v>
      </c>
      <c r="D89" s="19">
        <v>295</v>
      </c>
      <c r="E89" s="29">
        <f>3.9*AsphaltBinderBase+0.01</f>
        <v>2837.7670000000003</v>
      </c>
      <c r="F89" s="29">
        <f>3.95*AsphaltBinderBase</f>
        <v>2874.1385</v>
      </c>
      <c r="G89" s="67">
        <f>2.9*AsphaltBinderBase</f>
        <v>2110.127</v>
      </c>
      <c r="H89" s="9"/>
    </row>
    <row r="90" spans="1:8" x14ac:dyDescent="0.2">
      <c r="A90" s="9"/>
      <c r="B90" s="179"/>
      <c r="C90" s="63">
        <v>295</v>
      </c>
      <c r="D90" s="19">
        <v>300</v>
      </c>
      <c r="E90" s="29">
        <f>3.95*AsphaltBinderBase+0.01</f>
        <v>2874.1485000000002</v>
      </c>
      <c r="F90" s="29">
        <f>4*AsphaltBinderBase</f>
        <v>2910.52</v>
      </c>
      <c r="G90" s="67">
        <f>2.95*AsphaltBinderBase</f>
        <v>2146.5084999999999</v>
      </c>
      <c r="H90" s="9"/>
    </row>
    <row r="91" spans="1:8" x14ac:dyDescent="0.2">
      <c r="A91" s="9"/>
      <c r="B91" s="179"/>
      <c r="C91" s="63">
        <v>300</v>
      </c>
      <c r="D91" s="19">
        <v>305</v>
      </c>
      <c r="E91" s="29">
        <f>4*AsphaltBinderBase+0.01</f>
        <v>2910.53</v>
      </c>
      <c r="F91" s="29">
        <f>4.05*AsphaltBinderBase</f>
        <v>2946.9014999999999</v>
      </c>
      <c r="G91" s="67">
        <f>3*AsphaltBinderBase</f>
        <v>2182.89</v>
      </c>
      <c r="H91" s="9"/>
    </row>
    <row r="92" spans="1:8" x14ac:dyDescent="0.2">
      <c r="A92" s="9"/>
      <c r="B92" s="179"/>
      <c r="C92" s="63">
        <v>305</v>
      </c>
      <c r="D92" s="19">
        <v>310</v>
      </c>
      <c r="E92" s="29">
        <f>4.05*AsphaltBinderBase+0.01</f>
        <v>2946.9115000000002</v>
      </c>
      <c r="F92" s="29">
        <f>4.1*AsphaltBinderBase</f>
        <v>2983.2829999999999</v>
      </c>
      <c r="G92" s="67">
        <f>3.05*AsphaltBinderBase</f>
        <v>2219.2714999999998</v>
      </c>
      <c r="H92" s="9"/>
    </row>
    <row r="93" spans="1:8" x14ac:dyDescent="0.2">
      <c r="A93" s="9"/>
      <c r="B93" s="179"/>
      <c r="C93" s="63">
        <v>310</v>
      </c>
      <c r="D93" s="19">
        <v>315</v>
      </c>
      <c r="E93" s="29">
        <f>4.1*AsphaltBinderBase+0.01</f>
        <v>2983.2930000000001</v>
      </c>
      <c r="F93" s="29">
        <f>4.15*AsphaltBinderBase</f>
        <v>3019.6645000000003</v>
      </c>
      <c r="G93" s="67">
        <f>3.1*AsphaltBinderBase</f>
        <v>2255.6530000000002</v>
      </c>
      <c r="H93" s="9"/>
    </row>
    <row r="94" spans="1:8" x14ac:dyDescent="0.2">
      <c r="A94" s="9"/>
      <c r="B94" s="179"/>
      <c r="C94" s="63">
        <v>315</v>
      </c>
      <c r="D94" s="19">
        <v>320</v>
      </c>
      <c r="E94" s="29">
        <f>4.15*AsphaltBinderBase+0.01</f>
        <v>3019.6745000000005</v>
      </c>
      <c r="F94" s="29">
        <f>4.2*AsphaltBinderBase</f>
        <v>3056.0460000000003</v>
      </c>
      <c r="G94" s="67">
        <f>3.15*AsphaltBinderBase</f>
        <v>2292.0344999999998</v>
      </c>
      <c r="H94" s="9"/>
    </row>
    <row r="95" spans="1:8" x14ac:dyDescent="0.2">
      <c r="A95" s="9"/>
      <c r="B95" s="179"/>
      <c r="C95" s="63">
        <v>320</v>
      </c>
      <c r="D95" s="19">
        <v>325</v>
      </c>
      <c r="E95" s="29">
        <f>4.2*AsphaltBinderBase+0.01</f>
        <v>3056.0560000000005</v>
      </c>
      <c r="F95" s="29">
        <f>4.25*AsphaltBinderBase</f>
        <v>3092.4274999999998</v>
      </c>
      <c r="G95" s="67">
        <f>3.2*AsphaltBinderBase</f>
        <v>2328.4160000000002</v>
      </c>
      <c r="H95" s="9"/>
    </row>
    <row r="96" spans="1:8" x14ac:dyDescent="0.2">
      <c r="A96" s="9"/>
      <c r="B96" s="179"/>
      <c r="C96" s="63">
        <v>325</v>
      </c>
      <c r="D96" s="19">
        <v>330</v>
      </c>
      <c r="E96" s="29">
        <f>4.25*AsphaltBinderBase+0.01</f>
        <v>3092.4375</v>
      </c>
      <c r="F96" s="29">
        <f>4.3*AsphaltBinderBase</f>
        <v>3128.8089999999997</v>
      </c>
      <c r="G96" s="67">
        <f>3.25*AsphaltBinderBase</f>
        <v>2364.7975000000001</v>
      </c>
      <c r="H96" s="9"/>
    </row>
    <row r="97" spans="1:8" x14ac:dyDescent="0.2">
      <c r="A97" s="9"/>
      <c r="B97" s="179"/>
      <c r="C97" s="63">
        <v>330</v>
      </c>
      <c r="D97" s="19">
        <v>335</v>
      </c>
      <c r="E97" s="29">
        <f>4.3*AsphaltBinderBase+0.01</f>
        <v>3128.819</v>
      </c>
      <c r="F97" s="29">
        <f>4.35*AsphaltBinderBase</f>
        <v>3165.1904999999997</v>
      </c>
      <c r="G97" s="67">
        <f>3.3*AsphaltBinderBase</f>
        <v>2401.1789999999996</v>
      </c>
      <c r="H97" s="9"/>
    </row>
    <row r="98" spans="1:8" x14ac:dyDescent="0.2">
      <c r="A98" s="9"/>
      <c r="B98" s="179"/>
      <c r="C98" s="63">
        <v>335</v>
      </c>
      <c r="D98" s="19">
        <v>340</v>
      </c>
      <c r="E98" s="29">
        <f>4.35*AsphaltBinderBase+0.01</f>
        <v>3165.2004999999999</v>
      </c>
      <c r="F98" s="29">
        <f>4.4*AsphaltBinderBase</f>
        <v>3201.5720000000001</v>
      </c>
      <c r="G98" s="67">
        <f>3.35*AsphaltBinderBase</f>
        <v>2437.5605</v>
      </c>
      <c r="H98" s="9"/>
    </row>
    <row r="99" spans="1:8" x14ac:dyDescent="0.2">
      <c r="A99" s="9"/>
      <c r="B99" s="179"/>
      <c r="C99" s="63">
        <v>340</v>
      </c>
      <c r="D99" s="19">
        <v>345</v>
      </c>
      <c r="E99" s="29">
        <f>4.4*AsphaltBinderBase+0.01</f>
        <v>3201.5820000000003</v>
      </c>
      <c r="F99" s="29">
        <f>4.45*AsphaltBinderBase</f>
        <v>3237.9535000000001</v>
      </c>
      <c r="G99" s="67">
        <f>3.4*AsphaltBinderBase</f>
        <v>2473.942</v>
      </c>
      <c r="H99" s="9"/>
    </row>
    <row r="100" spans="1:8" x14ac:dyDescent="0.2">
      <c r="A100" s="9"/>
      <c r="B100" s="179"/>
      <c r="C100" s="63">
        <v>345</v>
      </c>
      <c r="D100" s="19">
        <v>350</v>
      </c>
      <c r="E100" s="29">
        <f>4.45*AsphaltBinderBase+0.01</f>
        <v>3237.9635000000003</v>
      </c>
      <c r="F100" s="29">
        <f>4.5*AsphaltBinderBase</f>
        <v>3274.335</v>
      </c>
      <c r="G100" s="67">
        <f>3.45*AsphaltBinderBase</f>
        <v>2510.3235</v>
      </c>
      <c r="H100" s="9"/>
    </row>
    <row r="101" spans="1:8" x14ac:dyDescent="0.2">
      <c r="A101" s="9"/>
      <c r="B101" s="179"/>
      <c r="C101" s="63">
        <v>350</v>
      </c>
      <c r="D101" s="19">
        <v>355</v>
      </c>
      <c r="E101" s="29">
        <f>4.5*AsphaltBinderBase+0.01</f>
        <v>3274.3450000000003</v>
      </c>
      <c r="F101" s="29">
        <f>4.55*AsphaltBinderBase</f>
        <v>3310.7165</v>
      </c>
      <c r="G101" s="67">
        <f>3.5*AsphaltBinderBase</f>
        <v>2546.7049999999999</v>
      </c>
      <c r="H101" s="9"/>
    </row>
    <row r="102" spans="1:8" x14ac:dyDescent="0.2">
      <c r="A102" s="9"/>
      <c r="B102" s="179"/>
      <c r="C102" s="63">
        <v>355</v>
      </c>
      <c r="D102" s="19">
        <v>360</v>
      </c>
      <c r="E102" s="29">
        <f>4.55*AsphaltBinderBase+0.01</f>
        <v>3310.7265000000002</v>
      </c>
      <c r="F102" s="29">
        <f>4.6*AsphaltBinderBase</f>
        <v>3347.0979999999995</v>
      </c>
      <c r="G102" s="67">
        <f>3.55*AsphaltBinderBase</f>
        <v>2583.0864999999999</v>
      </c>
      <c r="H102" s="9"/>
    </row>
    <row r="103" spans="1:8" x14ac:dyDescent="0.2">
      <c r="A103" s="9"/>
      <c r="B103" s="179"/>
      <c r="C103" s="63">
        <v>360</v>
      </c>
      <c r="D103" s="19">
        <v>365</v>
      </c>
      <c r="E103" s="29">
        <f>4.6*AsphaltBinderBase+0.01</f>
        <v>3347.1079999999997</v>
      </c>
      <c r="F103" s="29">
        <f>4.65*AsphaltBinderBase</f>
        <v>3383.4795000000004</v>
      </c>
      <c r="G103" s="67">
        <f>3.6*AsphaltBinderBase</f>
        <v>2619.4679999999998</v>
      </c>
      <c r="H103" s="9"/>
    </row>
    <row r="104" spans="1:8" x14ac:dyDescent="0.2">
      <c r="A104" s="9"/>
      <c r="B104" s="179"/>
      <c r="C104" s="63">
        <v>365</v>
      </c>
      <c r="D104" s="19">
        <v>370</v>
      </c>
      <c r="E104" s="29">
        <f>4.65*AsphaltBinderBase+0.01</f>
        <v>3383.4895000000006</v>
      </c>
      <c r="F104" s="29">
        <f>4.7*AsphaltBinderBase</f>
        <v>3419.8610000000003</v>
      </c>
      <c r="G104" s="67">
        <f>3.65*AsphaltBinderBase</f>
        <v>2655.8494999999998</v>
      </c>
      <c r="H104" s="9"/>
    </row>
    <row r="105" spans="1:8" x14ac:dyDescent="0.2">
      <c r="A105" s="9"/>
      <c r="B105" s="180"/>
      <c r="C105" s="69">
        <v>370</v>
      </c>
      <c r="D105" s="54">
        <v>375</v>
      </c>
      <c r="E105" s="57">
        <f>4.7*AsphaltBinderBase+0.01</f>
        <v>3419.8710000000005</v>
      </c>
      <c r="F105" s="57">
        <f>4.75*AsphaltBinderBase</f>
        <v>3456.2424999999998</v>
      </c>
      <c r="G105" s="68">
        <f>3.7*AsphaltBinderBase</f>
        <v>2692.2310000000002</v>
      </c>
      <c r="H105" s="9"/>
    </row>
    <row r="106" spans="1:8" x14ac:dyDescent="0.2">
      <c r="A106" s="9"/>
      <c r="B106" s="9"/>
      <c r="C106" s="9"/>
      <c r="D106" s="9"/>
      <c r="E106" s="9"/>
      <c r="F106" s="9"/>
      <c r="G106" s="9"/>
      <c r="H106" s="9"/>
    </row>
    <row r="107" spans="1:8" x14ac:dyDescent="0.2">
      <c r="A107" s="9"/>
      <c r="B107" s="9"/>
      <c r="C107" s="9"/>
      <c r="D107" s="9"/>
      <c r="E107" s="9"/>
      <c r="F107" s="9"/>
      <c r="G107" s="9"/>
      <c r="H107" s="9"/>
    </row>
    <row r="108" spans="1:8" x14ac:dyDescent="0.2">
      <c r="A108" s="9"/>
      <c r="B108" s="9"/>
      <c r="C108" s="9"/>
      <c r="D108" s="9"/>
      <c r="E108" s="9"/>
      <c r="F108" s="9"/>
      <c r="G108" s="9"/>
      <c r="H108" s="9"/>
    </row>
  </sheetData>
  <sheetProtection algorithmName="SHA-512" hashValue="szAvhbUqH1SVaDtCcJSPGwOdLrgY2O991/jas9bh8wcVPfl7NQXwBbUUmJblZXQBiecqwZZRiSzKNQnqJV2aFA==" saltValue="Uy4Z76nGkNrqapocANlOlg==" spinCount="100000" sheet="1" objects="1" scenarios="1"/>
  <mergeCells count="6">
    <mergeCell ref="B31:B105"/>
    <mergeCell ref="B11:B30"/>
    <mergeCell ref="B2:G2"/>
    <mergeCell ref="C4:D4"/>
    <mergeCell ref="C5:D5"/>
    <mergeCell ref="C6:D6"/>
  </mergeCells>
  <phoneticPr fontId="0" type="noConversion"/>
  <conditionalFormatting sqref="G11:G105">
    <cfRule type="cellIs" dxfId="0" priority="1" stopIfTrue="1" operator="equal">
      <formula>$E$6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22"/>
  <sheetViews>
    <sheetView workbookViewId="0">
      <selection activeCell="H16" sqref="H16"/>
    </sheetView>
  </sheetViews>
  <sheetFormatPr defaultRowHeight="12.75" x14ac:dyDescent="0.2"/>
  <cols>
    <col min="2" max="2" width="26.5703125" bestFit="1" customWidth="1"/>
    <col min="4" max="4" width="10.42578125" customWidth="1"/>
    <col min="5" max="5" width="12" bestFit="1" customWidth="1"/>
    <col min="6" max="6" width="12.140625" customWidth="1"/>
  </cols>
  <sheetData>
    <row r="1" spans="1:8" x14ac:dyDescent="0.2">
      <c r="A1" s="9"/>
      <c r="B1" s="9"/>
      <c r="C1" s="9"/>
      <c r="D1" s="9"/>
      <c r="E1" s="9"/>
      <c r="F1" s="9"/>
      <c r="G1" s="9"/>
      <c r="H1" s="9"/>
    </row>
    <row r="2" spans="1:8" ht="15.75" x14ac:dyDescent="0.25">
      <c r="A2" s="9"/>
      <c r="B2" s="187" t="s">
        <v>57</v>
      </c>
      <c r="C2" s="187"/>
      <c r="D2" s="187"/>
      <c r="E2" s="187"/>
      <c r="F2" s="187"/>
      <c r="G2" s="9"/>
      <c r="H2" s="9"/>
    </row>
    <row r="3" spans="1:8" x14ac:dyDescent="0.2">
      <c r="A3" s="9"/>
      <c r="B3" s="1"/>
      <c r="C3" s="1"/>
      <c r="D3" s="30" t="s">
        <v>58</v>
      </c>
      <c r="E3" s="31">
        <f>AsphaltBinderBase</f>
        <v>727.63</v>
      </c>
      <c r="F3" s="1"/>
      <c r="G3" s="9"/>
      <c r="H3" s="9"/>
    </row>
    <row r="4" spans="1:8" x14ac:dyDescent="0.2">
      <c r="A4" s="9"/>
      <c r="B4" s="1"/>
      <c r="C4" s="1"/>
      <c r="D4" s="30" t="s">
        <v>59</v>
      </c>
      <c r="E4" s="31">
        <f>AsphaltBinderCurrent</f>
        <v>727.63</v>
      </c>
      <c r="F4" s="1"/>
      <c r="G4" s="9"/>
      <c r="H4" s="9"/>
    </row>
    <row r="5" spans="1:8" ht="51" x14ac:dyDescent="0.2">
      <c r="A5" s="9"/>
      <c r="B5" s="32" t="s">
        <v>60</v>
      </c>
      <c r="C5" s="33" t="s">
        <v>61</v>
      </c>
      <c r="D5" s="34" t="s">
        <v>62</v>
      </c>
      <c r="E5" s="34" t="s">
        <v>63</v>
      </c>
      <c r="F5" s="34" t="s">
        <v>64</v>
      </c>
      <c r="G5" s="9"/>
      <c r="H5" s="9"/>
    </row>
    <row r="6" spans="1:8" ht="15" x14ac:dyDescent="0.25">
      <c r="A6" s="9"/>
      <c r="B6" s="71" t="s">
        <v>70</v>
      </c>
      <c r="C6" s="72"/>
      <c r="D6" s="72"/>
      <c r="E6" s="72"/>
      <c r="F6" s="73"/>
      <c r="G6" s="9"/>
      <c r="H6" s="9"/>
    </row>
    <row r="7" spans="1:8" x14ac:dyDescent="0.2">
      <c r="A7" s="9"/>
      <c r="B7" s="74" t="s">
        <v>65</v>
      </c>
      <c r="C7" s="33" t="s">
        <v>22</v>
      </c>
      <c r="D7" s="33">
        <v>0.28000000000000003</v>
      </c>
      <c r="E7" s="33">
        <f>D7*0.65/235</f>
        <v>7.7446808510638304E-4</v>
      </c>
      <c r="F7" s="35">
        <f>E7*AsphaltBinderChange</f>
        <v>0</v>
      </c>
      <c r="G7" s="9"/>
      <c r="H7" s="9"/>
    </row>
    <row r="8" spans="1:8" x14ac:dyDescent="0.2">
      <c r="A8" s="9"/>
      <c r="B8" s="74" t="s">
        <v>68</v>
      </c>
      <c r="C8" s="1"/>
      <c r="D8" s="1"/>
      <c r="E8" s="1"/>
      <c r="F8" s="1"/>
      <c r="G8" s="9"/>
      <c r="H8" s="9"/>
    </row>
    <row r="9" spans="1:8" x14ac:dyDescent="0.2">
      <c r="A9" s="9"/>
      <c r="B9" s="75" t="s">
        <v>89</v>
      </c>
      <c r="C9" s="33" t="s">
        <v>22</v>
      </c>
      <c r="D9" s="33">
        <v>0.82</v>
      </c>
      <c r="E9" s="33">
        <f>D9*0.65/235</f>
        <v>2.2680851063829788E-3</v>
      </c>
      <c r="F9" s="35">
        <f>E9*AsphaltBinderChange</f>
        <v>0</v>
      </c>
      <c r="G9" s="9"/>
      <c r="H9" s="9"/>
    </row>
    <row r="10" spans="1:8" x14ac:dyDescent="0.2">
      <c r="A10" s="9"/>
      <c r="B10" s="75" t="s">
        <v>85</v>
      </c>
      <c r="C10" s="33" t="s">
        <v>22</v>
      </c>
      <c r="D10" s="33">
        <v>0.97</v>
      </c>
      <c r="E10" s="33">
        <f>D10*0.65/235</f>
        <v>2.6829787234042553E-3</v>
      </c>
      <c r="F10" s="35">
        <f>E10*AsphaltBinderChange</f>
        <v>0</v>
      </c>
      <c r="G10" s="9"/>
      <c r="H10" s="9"/>
    </row>
    <row r="11" spans="1:8" x14ac:dyDescent="0.2">
      <c r="A11" s="9"/>
      <c r="B11" s="75" t="s">
        <v>86</v>
      </c>
      <c r="C11" s="33" t="s">
        <v>22</v>
      </c>
      <c r="D11" s="33">
        <v>0.55000000000000004</v>
      </c>
      <c r="E11" s="33">
        <f>D11*0.65/235</f>
        <v>1.521276595744681E-3</v>
      </c>
      <c r="F11" s="35">
        <f>E11*AsphaltBinderChange</f>
        <v>0</v>
      </c>
      <c r="G11" s="9"/>
      <c r="H11" s="9"/>
    </row>
    <row r="12" spans="1:8" x14ac:dyDescent="0.2">
      <c r="A12" s="9"/>
      <c r="B12" s="75" t="s">
        <v>87</v>
      </c>
      <c r="C12" s="33" t="s">
        <v>22</v>
      </c>
      <c r="D12" s="33">
        <v>0.46</v>
      </c>
      <c r="E12" s="33">
        <f>D12*0.65/235</f>
        <v>1.2723404255319151E-3</v>
      </c>
      <c r="F12" s="35">
        <f>E12*AsphaltBinderChange</f>
        <v>0</v>
      </c>
      <c r="G12" s="9"/>
      <c r="H12" s="9"/>
    </row>
    <row r="13" spans="1:8" x14ac:dyDescent="0.2">
      <c r="A13" s="9"/>
      <c r="B13" s="75" t="s">
        <v>88</v>
      </c>
      <c r="C13" s="33" t="s">
        <v>22</v>
      </c>
      <c r="D13" s="33">
        <v>0.48</v>
      </c>
      <c r="E13" s="33">
        <f>D13*0.65/235</f>
        <v>1.3276595744680852E-3</v>
      </c>
      <c r="F13" s="35">
        <f>E13*AsphaltBinderChange</f>
        <v>0</v>
      </c>
      <c r="G13" s="9"/>
      <c r="H13" s="9"/>
    </row>
    <row r="14" spans="1:8" x14ac:dyDescent="0.2">
      <c r="A14" s="9"/>
      <c r="B14" s="76" t="s">
        <v>79</v>
      </c>
      <c r="C14" s="77"/>
      <c r="D14" s="77"/>
      <c r="E14" s="77"/>
      <c r="F14" s="78"/>
      <c r="G14" s="9"/>
      <c r="H14" s="9"/>
    </row>
    <row r="15" spans="1:8" x14ac:dyDescent="0.2">
      <c r="A15" s="9"/>
      <c r="B15" s="75" t="s">
        <v>66</v>
      </c>
      <c r="C15" s="33" t="s">
        <v>22</v>
      </c>
      <c r="D15" s="33">
        <v>0.85</v>
      </c>
      <c r="E15" s="33">
        <f>D15*0.65/235</f>
        <v>2.3510638297872342E-3</v>
      </c>
      <c r="F15" s="35">
        <f>E15*AsphaltBinderChange</f>
        <v>0</v>
      </c>
      <c r="G15" s="9"/>
      <c r="H15" s="9"/>
    </row>
    <row r="16" spans="1:8" x14ac:dyDescent="0.2">
      <c r="A16" s="9"/>
      <c r="B16" s="75" t="s">
        <v>67</v>
      </c>
      <c r="C16" s="33" t="s">
        <v>22</v>
      </c>
      <c r="D16" s="33">
        <v>0.71</v>
      </c>
      <c r="E16" s="33">
        <f>D16*0.65/235</f>
        <v>1.9638297872340425E-3</v>
      </c>
      <c r="F16" s="35">
        <f>E16*AsphaltBinderChange</f>
        <v>0</v>
      </c>
      <c r="G16" s="9"/>
      <c r="H16" s="9"/>
    </row>
    <row r="17" spans="1:8" x14ac:dyDescent="0.2">
      <c r="A17" s="9"/>
      <c r="B17" s="75" t="s">
        <v>69</v>
      </c>
      <c r="C17" s="33" t="s">
        <v>22</v>
      </c>
      <c r="D17" s="33">
        <v>0.82</v>
      </c>
      <c r="E17" s="33">
        <f>D17*0.65/235</f>
        <v>2.2680851063829788E-3</v>
      </c>
      <c r="F17" s="35">
        <f>E17*AsphaltBinderChange</f>
        <v>0</v>
      </c>
      <c r="G17" s="9"/>
      <c r="H17" s="9"/>
    </row>
    <row r="18" spans="1:8" x14ac:dyDescent="0.2">
      <c r="A18" s="9"/>
      <c r="B18" s="9"/>
      <c r="C18" s="9"/>
      <c r="D18" s="9"/>
      <c r="E18" s="9"/>
      <c r="F18" s="9"/>
      <c r="G18" s="9"/>
      <c r="H18" s="9"/>
    </row>
    <row r="19" spans="1:8" x14ac:dyDescent="0.2">
      <c r="A19" s="9"/>
      <c r="B19" s="9"/>
      <c r="C19" s="9"/>
      <c r="D19" s="9"/>
      <c r="E19" s="9"/>
      <c r="F19" s="9"/>
      <c r="G19" s="9"/>
      <c r="H19" s="9"/>
    </row>
    <row r="20" spans="1:8" x14ac:dyDescent="0.2">
      <c r="A20" s="9"/>
      <c r="B20" s="9"/>
      <c r="C20" s="9"/>
      <c r="D20" s="9"/>
      <c r="E20" s="9"/>
      <c r="F20" s="9"/>
      <c r="G20" s="9"/>
      <c r="H20" s="9"/>
    </row>
    <row r="21" spans="1:8" x14ac:dyDescent="0.2">
      <c r="A21" s="9"/>
      <c r="B21" s="9"/>
      <c r="C21" s="9"/>
      <c r="D21" s="9"/>
      <c r="E21" s="9"/>
      <c r="F21" s="9"/>
      <c r="G21" s="9"/>
      <c r="H21" s="9"/>
    </row>
    <row r="22" spans="1:8" x14ac:dyDescent="0.2">
      <c r="A22" s="9"/>
      <c r="B22" s="9"/>
      <c r="C22" s="9"/>
      <c r="D22" s="9"/>
      <c r="E22" s="9"/>
      <c r="F22" s="9"/>
      <c r="G22" s="9"/>
      <c r="H22" s="9"/>
    </row>
  </sheetData>
  <sheetProtection algorithmName="SHA-512" hashValue="7dfyt0D0VOJehz5p5dC3WUOBPQXMPDHGwNUyYUIZ3ff5BHl3Vwups6pREEp3lJgb0lshK6ypukm1LhFte8tA5g==" saltValue="RzP9njyaYcfSLs2dpFx3Pg==" spinCount="100000" sheet="1" objects="1" scenarios="1"/>
  <mergeCells count="1">
    <mergeCell ref="B2:F2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11</vt:i4>
      </vt:variant>
    </vt:vector>
  </HeadingPairs>
  <TitlesOfParts>
    <vt:vector size="16" baseType="lpstr">
      <vt:lpstr>Index Dates and Adjustments</vt:lpstr>
      <vt:lpstr>Maintain Indexes</vt:lpstr>
      <vt:lpstr>Fuel Charts</vt:lpstr>
      <vt:lpstr>AC Binder Chart</vt:lpstr>
      <vt:lpstr>Bit. Surf. Chart</vt:lpstr>
      <vt:lpstr>AsphaltBinderBase</vt:lpstr>
      <vt:lpstr>AsphaltBinderChange</vt:lpstr>
      <vt:lpstr>AsphaltBinderCurrent</vt:lpstr>
      <vt:lpstr>DieselBase</vt:lpstr>
      <vt:lpstr>DieselChange</vt:lpstr>
      <vt:lpstr>DieselCurrent</vt:lpstr>
      <vt:lpstr>MaintainIndexes</vt:lpstr>
      <vt:lpstr>UnleadedBase</vt:lpstr>
      <vt:lpstr>UnleadedChange</vt:lpstr>
      <vt:lpstr>UnleadedCurrent</vt:lpstr>
      <vt:lpstr>Validdates</vt:lpstr>
    </vt:vector>
  </TitlesOfParts>
  <Company>SCDOT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Lindberg</dc:creator>
  <cp:lastModifiedBy>Sox, Kyle</cp:lastModifiedBy>
  <cp:lastPrinted>2011-06-17T15:19:45Z</cp:lastPrinted>
  <dcterms:created xsi:type="dcterms:W3CDTF">2006-08-02T15:15:53Z</dcterms:created>
  <dcterms:modified xsi:type="dcterms:W3CDTF">2026-05-12T19:14:59Z</dcterms:modified>
</cp:coreProperties>
</file>