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25644\25644.0006\Exchange - External\Outgoing\Agency\SCDOT\2016-06-01 DRAINAGE\DISCHARGE CALCULATION\"/>
    </mc:Choice>
  </mc:AlternateContent>
  <bookViews>
    <workbookView xWindow="0" yWindow="0" windowWidth="10530" windowHeight="10785"/>
  </bookViews>
  <sheets>
    <sheet name="SUMMARY" sheetId="5" r:id="rId1"/>
    <sheet name="Sheet1" sheetId="1" r:id="rId2"/>
    <sheet name="Sheet2" sheetId="2" r:id="rId3"/>
    <sheet name="ABC for frequency" sheetId="3" r:id="rId4"/>
    <sheet name="Sheet4" sheetId="6" r:id="rId5"/>
    <sheet name="Sheet5" sheetId="7" r:id="rId6"/>
    <sheet name="Sheet6" sheetId="8" r:id="rId7"/>
  </sheets>
  <definedNames>
    <definedName name="_xlnm._FilterDatabase" localSheetId="4" hidden="1">Sheet4!$B$39:$W$39</definedName>
    <definedName name="_xlnm._FilterDatabase" localSheetId="5" hidden="1">Sheet5!$B$40:$W$40</definedName>
    <definedName name="_xlnm._FilterDatabase" localSheetId="6" hidden="1">Sheet6!$B$40:$W$40</definedName>
    <definedName name="_xlnm._FilterDatabase" localSheetId="0" hidden="1">SUMMARY!$B$16:$W$16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3" i="1" l="1"/>
  <c r="E54" i="1"/>
  <c r="E31" i="1" l="1"/>
  <c r="E59" i="1"/>
  <c r="W35" i="5" l="1"/>
  <c r="V33" i="5"/>
  <c r="U33" i="5"/>
  <c r="T33" i="5"/>
  <c r="S33" i="5"/>
  <c r="R33" i="5"/>
  <c r="Q33" i="5"/>
  <c r="P33" i="5"/>
  <c r="O33" i="5"/>
  <c r="N33" i="5"/>
  <c r="M33" i="5"/>
  <c r="L33" i="5"/>
  <c r="K33" i="5"/>
  <c r="J32" i="5"/>
  <c r="I33" i="5"/>
  <c r="J33" i="5"/>
  <c r="H33" i="5" s="1"/>
  <c r="G33" i="5"/>
  <c r="F33" i="5"/>
  <c r="W32" i="5"/>
  <c r="T32" i="5"/>
  <c r="Q32" i="5"/>
  <c r="N32" i="5"/>
  <c r="K32" i="5"/>
  <c r="I32" i="5"/>
  <c r="G32" i="5"/>
  <c r="F32" i="5"/>
  <c r="E60" i="1"/>
  <c r="E55" i="1" l="1"/>
  <c r="E56" i="1" s="1"/>
  <c r="F59" i="1"/>
  <c r="G59" i="1"/>
  <c r="H59" i="1"/>
  <c r="I53" i="1" l="1"/>
  <c r="F53" i="1"/>
  <c r="T34" i="5"/>
  <c r="U34" i="5"/>
  <c r="V34" i="5"/>
  <c r="W34" i="5"/>
  <c r="N34" i="5"/>
  <c r="O34" i="5"/>
  <c r="P34" i="5"/>
  <c r="Q34" i="5"/>
  <c r="R34" i="5"/>
  <c r="S34" i="5"/>
  <c r="M34" i="5"/>
  <c r="S44" i="1"/>
  <c r="U44" i="1" s="1"/>
  <c r="P44" i="1"/>
  <c r="R44" i="1" s="1"/>
  <c r="M44" i="1"/>
  <c r="O44" i="1" s="1"/>
  <c r="J44" i="1"/>
  <c r="L44" i="1" s="1"/>
  <c r="H44" i="1"/>
  <c r="G44" i="1"/>
  <c r="F44" i="1"/>
  <c r="E44" i="1"/>
  <c r="L34" i="5"/>
  <c r="I34" i="5"/>
  <c r="H34" i="5"/>
  <c r="G34" i="5"/>
  <c r="F34" i="5"/>
  <c r="H31" i="1"/>
  <c r="F31" i="1"/>
  <c r="S42" i="1"/>
  <c r="U42" i="1" s="1"/>
  <c r="P42" i="1"/>
  <c r="R42" i="1" s="1"/>
  <c r="M42" i="1"/>
  <c r="O42" i="1" s="1"/>
  <c r="J42" i="1"/>
  <c r="L42" i="1" s="1"/>
  <c r="G42" i="1"/>
  <c r="F42" i="1"/>
  <c r="E49" i="5" l="1"/>
  <c r="D49" i="5"/>
  <c r="L28" i="5"/>
  <c r="M28" i="5"/>
  <c r="N28" i="5"/>
  <c r="O28" i="5"/>
  <c r="P28" i="5"/>
  <c r="Q28" i="5"/>
  <c r="R28" i="5"/>
  <c r="S28" i="5"/>
  <c r="T28" i="5"/>
  <c r="U28" i="5"/>
  <c r="V28" i="5"/>
  <c r="W28" i="5"/>
  <c r="K28" i="5"/>
  <c r="I28" i="5"/>
  <c r="H28" i="5"/>
  <c r="G28" i="5"/>
  <c r="J28" i="5"/>
  <c r="F28" i="5"/>
  <c r="H48" i="1"/>
  <c r="G48" i="1"/>
  <c r="F48" i="1"/>
  <c r="E48" i="1"/>
  <c r="E47" i="1"/>
  <c r="E41" i="1"/>
  <c r="E50" i="1"/>
  <c r="H49" i="1"/>
  <c r="G49" i="1"/>
  <c r="F49" i="1"/>
  <c r="E49" i="1"/>
  <c r="E35" i="1"/>
  <c r="E46" i="1" l="1"/>
  <c r="W52" i="8" l="1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H45" i="8" s="1"/>
  <c r="I45" i="8"/>
  <c r="G45" i="8"/>
  <c r="F45" i="8"/>
  <c r="E45" i="8"/>
  <c r="D45" i="8"/>
  <c r="C45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H47" i="8" s="1"/>
  <c r="I47" i="8"/>
  <c r="G47" i="8"/>
  <c r="F47" i="8"/>
  <c r="E47" i="8"/>
  <c r="D47" i="8"/>
  <c r="C47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H42" i="8" s="1"/>
  <c r="I42" i="8"/>
  <c r="G42" i="8"/>
  <c r="F42" i="8"/>
  <c r="E42" i="8"/>
  <c r="C42" i="8"/>
  <c r="W41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H41" i="8" s="1"/>
  <c r="I41" i="8"/>
  <c r="G41" i="8"/>
  <c r="F41" i="8"/>
  <c r="E41" i="8"/>
  <c r="D41" i="8"/>
  <c r="C41" i="8"/>
  <c r="V44" i="8"/>
  <c r="U44" i="8"/>
  <c r="S44" i="8"/>
  <c r="R44" i="8"/>
  <c r="P44" i="8"/>
  <c r="O44" i="8"/>
  <c r="M44" i="8"/>
  <c r="L44" i="8"/>
  <c r="K44" i="8"/>
  <c r="E44" i="8"/>
  <c r="D44" i="8"/>
  <c r="C44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H46" i="8" s="1"/>
  <c r="I46" i="8"/>
  <c r="G46" i="8"/>
  <c r="F46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H50" i="8" s="1"/>
  <c r="I50" i="8"/>
  <c r="G50" i="8"/>
  <c r="F50" i="8"/>
  <c r="D50" i="8"/>
  <c r="C50" i="8"/>
  <c r="D49" i="8"/>
  <c r="C49" i="8"/>
  <c r="V43" i="8"/>
  <c r="U43" i="8"/>
  <c r="S43" i="8"/>
  <c r="R43" i="8"/>
  <c r="P43" i="8"/>
  <c r="O43" i="8"/>
  <c r="M43" i="8"/>
  <c r="L43" i="8"/>
  <c r="K43" i="8"/>
  <c r="F43" i="8"/>
  <c r="E43" i="8"/>
  <c r="D43" i="8"/>
  <c r="C43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H48" i="8" s="1"/>
  <c r="I48" i="8"/>
  <c r="G48" i="8"/>
  <c r="F48" i="8"/>
  <c r="E48" i="8"/>
  <c r="D48" i="8"/>
  <c r="C48" i="8"/>
  <c r="H40" i="8"/>
  <c r="C5" i="7"/>
  <c r="D5" i="7"/>
  <c r="E5" i="7"/>
  <c r="K5" i="7"/>
  <c r="L5" i="7"/>
  <c r="M5" i="7"/>
  <c r="O5" i="7"/>
  <c r="P5" i="7"/>
  <c r="R5" i="7"/>
  <c r="S5" i="7"/>
  <c r="U5" i="7"/>
  <c r="V5" i="7"/>
  <c r="B5" i="7"/>
  <c r="W52" i="7"/>
  <c r="V52" i="7"/>
  <c r="U52" i="7"/>
  <c r="T52" i="7"/>
  <c r="S52" i="7"/>
  <c r="R52" i="7"/>
  <c r="Q52" i="7"/>
  <c r="P52" i="7"/>
  <c r="O52" i="7"/>
  <c r="N52" i="7"/>
  <c r="M52" i="7"/>
  <c r="L52" i="7"/>
  <c r="K52" i="7"/>
  <c r="J52" i="7"/>
  <c r="H52" i="7" s="1"/>
  <c r="I52" i="7"/>
  <c r="G52" i="7"/>
  <c r="F52" i="7"/>
  <c r="W51" i="7"/>
  <c r="V51" i="7"/>
  <c r="U51" i="7"/>
  <c r="T51" i="7"/>
  <c r="S51" i="7"/>
  <c r="R51" i="7"/>
  <c r="Q51" i="7"/>
  <c r="P51" i="7"/>
  <c r="O51" i="7"/>
  <c r="N51" i="7"/>
  <c r="M51" i="7"/>
  <c r="L51" i="7"/>
  <c r="K51" i="7"/>
  <c r="J51" i="7"/>
  <c r="H51" i="7" s="1"/>
  <c r="I51" i="7"/>
  <c r="G51" i="7"/>
  <c r="F51" i="7"/>
  <c r="W43" i="7"/>
  <c r="V43" i="7"/>
  <c r="U43" i="7"/>
  <c r="T43" i="7"/>
  <c r="S43" i="7"/>
  <c r="R43" i="7"/>
  <c r="Q43" i="7"/>
  <c r="P43" i="7"/>
  <c r="O43" i="7"/>
  <c r="N43" i="7"/>
  <c r="M43" i="7"/>
  <c r="L43" i="7"/>
  <c r="K43" i="7"/>
  <c r="J43" i="7"/>
  <c r="H43" i="7" s="1"/>
  <c r="I43" i="7"/>
  <c r="G43" i="7"/>
  <c r="F43" i="7"/>
  <c r="W46" i="7"/>
  <c r="V46" i="7"/>
  <c r="U46" i="7"/>
  <c r="T46" i="7"/>
  <c r="S46" i="7"/>
  <c r="R46" i="7"/>
  <c r="Q46" i="7"/>
  <c r="P46" i="7"/>
  <c r="O46" i="7"/>
  <c r="N46" i="7"/>
  <c r="M46" i="7"/>
  <c r="L46" i="7"/>
  <c r="K46" i="7"/>
  <c r="J46" i="7"/>
  <c r="H46" i="7" s="1"/>
  <c r="I46" i="7"/>
  <c r="G46" i="7"/>
  <c r="F46" i="7"/>
  <c r="V42" i="7"/>
  <c r="U42" i="7"/>
  <c r="S42" i="7"/>
  <c r="R42" i="7"/>
  <c r="P42" i="7"/>
  <c r="O42" i="7"/>
  <c r="M42" i="7"/>
  <c r="L42" i="7"/>
  <c r="K42" i="7"/>
  <c r="V41" i="7"/>
  <c r="U41" i="7"/>
  <c r="S41" i="7"/>
  <c r="R41" i="7"/>
  <c r="P41" i="7"/>
  <c r="O41" i="7"/>
  <c r="M41" i="7"/>
  <c r="L41" i="7"/>
  <c r="K41" i="7"/>
  <c r="F41" i="7"/>
  <c r="W48" i="7"/>
  <c r="V48" i="7"/>
  <c r="U48" i="7"/>
  <c r="T48" i="7"/>
  <c r="S48" i="7"/>
  <c r="R48" i="7"/>
  <c r="Q48" i="7"/>
  <c r="P48" i="7"/>
  <c r="O48" i="7"/>
  <c r="N48" i="7"/>
  <c r="M48" i="7"/>
  <c r="L48" i="7"/>
  <c r="K48" i="7"/>
  <c r="J48" i="7"/>
  <c r="H48" i="7" s="1"/>
  <c r="I48" i="7"/>
  <c r="G48" i="7"/>
  <c r="F48" i="7"/>
  <c r="H40" i="7"/>
  <c r="W28" i="7"/>
  <c r="V28" i="7"/>
  <c r="U28" i="7"/>
  <c r="T28" i="7"/>
  <c r="S28" i="7"/>
  <c r="R28" i="7"/>
  <c r="Q28" i="7"/>
  <c r="P28" i="7"/>
  <c r="O28" i="7"/>
  <c r="N28" i="7"/>
  <c r="M28" i="7"/>
  <c r="L28" i="7"/>
  <c r="K28" i="7"/>
  <c r="J28" i="7"/>
  <c r="H28" i="7" s="1"/>
  <c r="I28" i="7"/>
  <c r="G28" i="7"/>
  <c r="F28" i="7"/>
  <c r="W36" i="7"/>
  <c r="V36" i="7"/>
  <c r="U36" i="7"/>
  <c r="T36" i="7"/>
  <c r="S36" i="7"/>
  <c r="R36" i="7"/>
  <c r="Q36" i="7"/>
  <c r="P36" i="7"/>
  <c r="O36" i="7"/>
  <c r="N36" i="7"/>
  <c r="M36" i="7"/>
  <c r="L36" i="7"/>
  <c r="K36" i="7"/>
  <c r="J36" i="7"/>
  <c r="H36" i="7" s="1"/>
  <c r="I36" i="7"/>
  <c r="G36" i="7"/>
  <c r="F36" i="7"/>
  <c r="W35" i="7"/>
  <c r="V35" i="7"/>
  <c r="U35" i="7"/>
  <c r="T35" i="7"/>
  <c r="S35" i="7"/>
  <c r="R35" i="7"/>
  <c r="Q35" i="7"/>
  <c r="P35" i="7"/>
  <c r="O35" i="7"/>
  <c r="N35" i="7"/>
  <c r="M35" i="7"/>
  <c r="L35" i="7"/>
  <c r="K35" i="7"/>
  <c r="J35" i="7"/>
  <c r="H35" i="7" s="1"/>
  <c r="I35" i="7"/>
  <c r="G35" i="7"/>
  <c r="F35" i="7"/>
  <c r="W27" i="7"/>
  <c r="V27" i="7"/>
  <c r="U27" i="7"/>
  <c r="T27" i="7"/>
  <c r="S27" i="7"/>
  <c r="R27" i="7"/>
  <c r="Q27" i="7"/>
  <c r="P27" i="7"/>
  <c r="O27" i="7"/>
  <c r="N27" i="7"/>
  <c r="M27" i="7"/>
  <c r="L27" i="7"/>
  <c r="K27" i="7"/>
  <c r="J27" i="7"/>
  <c r="I27" i="7"/>
  <c r="H27" i="7"/>
  <c r="G27" i="7"/>
  <c r="F27" i="7"/>
  <c r="W34" i="7"/>
  <c r="V34" i="7"/>
  <c r="U34" i="7"/>
  <c r="T34" i="7"/>
  <c r="S34" i="7"/>
  <c r="R34" i="7"/>
  <c r="Q34" i="7"/>
  <c r="P34" i="7"/>
  <c r="O34" i="7"/>
  <c r="N34" i="7"/>
  <c r="M34" i="7"/>
  <c r="L34" i="7"/>
  <c r="K34" i="7"/>
  <c r="J34" i="7"/>
  <c r="H34" i="7" s="1"/>
  <c r="I34" i="7"/>
  <c r="G34" i="7"/>
  <c r="F34" i="7"/>
  <c r="W25" i="7"/>
  <c r="V25" i="7"/>
  <c r="U25" i="7"/>
  <c r="T25" i="7"/>
  <c r="T33" i="7" s="1"/>
  <c r="S25" i="7"/>
  <c r="S33" i="7" s="1"/>
  <c r="R25" i="7"/>
  <c r="R33" i="7" s="1"/>
  <c r="Q25" i="7"/>
  <c r="P25" i="7"/>
  <c r="O25" i="7"/>
  <c r="N25" i="7"/>
  <c r="M25" i="7"/>
  <c r="L25" i="7"/>
  <c r="L33" i="7" s="1"/>
  <c r="K25" i="7"/>
  <c r="K33" i="7" s="1"/>
  <c r="J25" i="7"/>
  <c r="J33" i="7" s="1"/>
  <c r="H33" i="7" s="1"/>
  <c r="I25" i="7"/>
  <c r="G25" i="7"/>
  <c r="F25" i="7"/>
  <c r="W23" i="7"/>
  <c r="V23" i="7"/>
  <c r="U23" i="7"/>
  <c r="T23" i="7"/>
  <c r="S23" i="7"/>
  <c r="R23" i="7"/>
  <c r="Q23" i="7"/>
  <c r="P23" i="7"/>
  <c r="O23" i="7"/>
  <c r="N23" i="7"/>
  <c r="M23" i="7"/>
  <c r="L23" i="7"/>
  <c r="K23" i="7"/>
  <c r="J23" i="7"/>
  <c r="H23" i="7" s="1"/>
  <c r="I23" i="7"/>
  <c r="G23" i="7"/>
  <c r="F23" i="7"/>
  <c r="W22" i="7"/>
  <c r="V22" i="7"/>
  <c r="U22" i="7"/>
  <c r="T22" i="7"/>
  <c r="S22" i="7"/>
  <c r="R22" i="7"/>
  <c r="Q22" i="7"/>
  <c r="P22" i="7"/>
  <c r="O22" i="7"/>
  <c r="N22" i="7"/>
  <c r="M22" i="7"/>
  <c r="L22" i="7"/>
  <c r="K22" i="7"/>
  <c r="J22" i="7"/>
  <c r="H22" i="7" s="1"/>
  <c r="I22" i="7"/>
  <c r="G22" i="7"/>
  <c r="F22" i="7"/>
  <c r="W31" i="7"/>
  <c r="V31" i="7"/>
  <c r="U31" i="7"/>
  <c r="T31" i="7"/>
  <c r="S31" i="7"/>
  <c r="R31" i="7"/>
  <c r="Q31" i="7"/>
  <c r="P31" i="7"/>
  <c r="O31" i="7"/>
  <c r="N31" i="7"/>
  <c r="M31" i="7"/>
  <c r="L31" i="7"/>
  <c r="K31" i="7"/>
  <c r="J31" i="7"/>
  <c r="H31" i="7" s="1"/>
  <c r="I31" i="7"/>
  <c r="G31" i="7"/>
  <c r="F31" i="7"/>
  <c r="W30" i="7"/>
  <c r="V30" i="7"/>
  <c r="U30" i="7"/>
  <c r="T30" i="7"/>
  <c r="S30" i="7"/>
  <c r="R30" i="7"/>
  <c r="Q30" i="7"/>
  <c r="P30" i="7"/>
  <c r="O30" i="7"/>
  <c r="N30" i="7"/>
  <c r="M30" i="7"/>
  <c r="L30" i="7"/>
  <c r="K30" i="7"/>
  <c r="J30" i="7"/>
  <c r="H30" i="7" s="1"/>
  <c r="I30" i="7"/>
  <c r="G30" i="7"/>
  <c r="F30" i="7"/>
  <c r="W29" i="7"/>
  <c r="V29" i="7"/>
  <c r="U29" i="7"/>
  <c r="T29" i="7"/>
  <c r="S29" i="7"/>
  <c r="R29" i="7"/>
  <c r="Q29" i="7"/>
  <c r="P29" i="7"/>
  <c r="O29" i="7"/>
  <c r="N29" i="7"/>
  <c r="M29" i="7"/>
  <c r="L29" i="7"/>
  <c r="K29" i="7"/>
  <c r="J29" i="7"/>
  <c r="H29" i="7" s="1"/>
  <c r="I29" i="7"/>
  <c r="G29" i="7"/>
  <c r="F29" i="7"/>
  <c r="W20" i="7"/>
  <c r="V20" i="7"/>
  <c r="U20" i="7"/>
  <c r="T20" i="7"/>
  <c r="S20" i="7"/>
  <c r="R20" i="7"/>
  <c r="Q20" i="7"/>
  <c r="P20" i="7"/>
  <c r="O20" i="7"/>
  <c r="N20" i="7"/>
  <c r="M20" i="7"/>
  <c r="L20" i="7"/>
  <c r="K20" i="7"/>
  <c r="J20" i="7"/>
  <c r="H20" i="7" s="1"/>
  <c r="I20" i="7"/>
  <c r="G20" i="7"/>
  <c r="F20" i="7"/>
  <c r="W19" i="7"/>
  <c r="V19" i="7"/>
  <c r="U19" i="7"/>
  <c r="T19" i="7"/>
  <c r="S19" i="7"/>
  <c r="R19" i="7"/>
  <c r="Q19" i="7"/>
  <c r="P19" i="7"/>
  <c r="O19" i="7"/>
  <c r="N19" i="7"/>
  <c r="M19" i="7"/>
  <c r="L19" i="7"/>
  <c r="K19" i="7"/>
  <c r="J19" i="7"/>
  <c r="H19" i="7" s="1"/>
  <c r="I19" i="7"/>
  <c r="G19" i="7"/>
  <c r="F19" i="7"/>
  <c r="W18" i="7"/>
  <c r="V18" i="7"/>
  <c r="U18" i="7"/>
  <c r="T18" i="7"/>
  <c r="S18" i="7"/>
  <c r="R18" i="7"/>
  <c r="Q18" i="7"/>
  <c r="P18" i="7"/>
  <c r="O18" i="7"/>
  <c r="N18" i="7"/>
  <c r="M18" i="7"/>
  <c r="L18" i="7"/>
  <c r="K18" i="7"/>
  <c r="J18" i="7"/>
  <c r="H18" i="7" s="1"/>
  <c r="I18" i="7"/>
  <c r="G18" i="7"/>
  <c r="F18" i="7"/>
  <c r="W21" i="7"/>
  <c r="V21" i="7"/>
  <c r="U21" i="7"/>
  <c r="T21" i="7"/>
  <c r="S21" i="7"/>
  <c r="R21" i="7"/>
  <c r="Q21" i="7"/>
  <c r="P21" i="7"/>
  <c r="O21" i="7"/>
  <c r="N21" i="7"/>
  <c r="M21" i="7"/>
  <c r="L21" i="7"/>
  <c r="K21" i="7"/>
  <c r="J21" i="7"/>
  <c r="H21" i="7" s="1"/>
  <c r="I21" i="7"/>
  <c r="G21" i="7"/>
  <c r="F21" i="7"/>
  <c r="V24" i="7"/>
  <c r="U24" i="7"/>
  <c r="S24" i="7"/>
  <c r="R24" i="7"/>
  <c r="P24" i="7"/>
  <c r="O24" i="7"/>
  <c r="M24" i="7"/>
  <c r="L24" i="7"/>
  <c r="K24" i="7"/>
  <c r="W32" i="7"/>
  <c r="V32" i="7"/>
  <c r="U32" i="7"/>
  <c r="T32" i="7"/>
  <c r="S32" i="7"/>
  <c r="R32" i="7"/>
  <c r="Q32" i="7"/>
  <c r="P32" i="7"/>
  <c r="O32" i="7"/>
  <c r="N32" i="7"/>
  <c r="M32" i="7"/>
  <c r="L32" i="7"/>
  <c r="K32" i="7"/>
  <c r="J32" i="7"/>
  <c r="H32" i="7" s="1"/>
  <c r="I32" i="7"/>
  <c r="G32" i="7"/>
  <c r="F32" i="7"/>
  <c r="V26" i="7"/>
  <c r="V50" i="7" s="1"/>
  <c r="U26" i="7"/>
  <c r="S26" i="7"/>
  <c r="R26" i="7"/>
  <c r="P26" i="7"/>
  <c r="P50" i="7" s="1"/>
  <c r="O26" i="7"/>
  <c r="O50" i="7" s="1"/>
  <c r="M26" i="7"/>
  <c r="L26" i="7"/>
  <c r="K26" i="7"/>
  <c r="F26" i="7"/>
  <c r="C26" i="7"/>
  <c r="H17" i="7"/>
  <c r="V8" i="7"/>
  <c r="V44" i="7" s="1"/>
  <c r="U8" i="7"/>
  <c r="U44" i="7" s="1"/>
  <c r="S8" i="7"/>
  <c r="R8" i="7"/>
  <c r="R44" i="7" s="1"/>
  <c r="P8" i="7"/>
  <c r="O8" i="7"/>
  <c r="M8" i="7"/>
  <c r="M44" i="7" s="1"/>
  <c r="L8" i="7"/>
  <c r="L44" i="7" s="1"/>
  <c r="K8" i="7"/>
  <c r="E8" i="7"/>
  <c r="D8" i="7"/>
  <c r="C8" i="7"/>
  <c r="B8" i="7"/>
  <c r="V10" i="7"/>
  <c r="U10" i="7"/>
  <c r="S10" i="7"/>
  <c r="R10" i="7"/>
  <c r="P10" i="7"/>
  <c r="O10" i="7"/>
  <c r="M10" i="7"/>
  <c r="L10" i="7"/>
  <c r="K10" i="7"/>
  <c r="E10" i="7"/>
  <c r="D10" i="7"/>
  <c r="C10" i="7"/>
  <c r="B10" i="7"/>
  <c r="V9" i="7"/>
  <c r="V45" i="7" s="1"/>
  <c r="U9" i="7"/>
  <c r="U45" i="7" s="1"/>
  <c r="S9" i="7"/>
  <c r="S45" i="7" s="1"/>
  <c r="R9" i="7"/>
  <c r="R45" i="7" s="1"/>
  <c r="P9" i="7"/>
  <c r="P45" i="7" s="1"/>
  <c r="O9" i="7"/>
  <c r="O45" i="7" s="1"/>
  <c r="M9" i="7"/>
  <c r="M45" i="7" s="1"/>
  <c r="L9" i="7"/>
  <c r="L45" i="7" s="1"/>
  <c r="K9" i="7"/>
  <c r="K45" i="7" s="1"/>
  <c r="I9" i="7"/>
  <c r="G9" i="7"/>
  <c r="F9" i="7"/>
  <c r="E9" i="7"/>
  <c r="D9" i="7"/>
  <c r="C9" i="7"/>
  <c r="B9" i="7"/>
  <c r="V7" i="7"/>
  <c r="U7" i="7"/>
  <c r="S7" i="7"/>
  <c r="R7" i="7"/>
  <c r="P7" i="7"/>
  <c r="O7" i="7"/>
  <c r="M7" i="7"/>
  <c r="L7" i="7"/>
  <c r="K7" i="7"/>
  <c r="E7" i="7"/>
  <c r="D7" i="7"/>
  <c r="B7" i="7"/>
  <c r="V6" i="7"/>
  <c r="S6" i="7"/>
  <c r="P6" i="7"/>
  <c r="M6" i="7"/>
  <c r="K6" i="7"/>
  <c r="E6" i="7"/>
  <c r="D6" i="7"/>
  <c r="C6" i="7"/>
  <c r="B6" i="7"/>
  <c r="W11" i="7"/>
  <c r="V11" i="7"/>
  <c r="V47" i="7" s="1"/>
  <c r="U11" i="7"/>
  <c r="U47" i="7" s="1"/>
  <c r="T11" i="7"/>
  <c r="S11" i="7"/>
  <c r="R11" i="7"/>
  <c r="Q11" i="7"/>
  <c r="P11" i="7"/>
  <c r="O11" i="7"/>
  <c r="N11" i="7"/>
  <c r="M11" i="7"/>
  <c r="M47" i="7" s="1"/>
  <c r="L11" i="7"/>
  <c r="L47" i="7" s="1"/>
  <c r="K11" i="7"/>
  <c r="I11" i="7"/>
  <c r="G11" i="7"/>
  <c r="F11" i="7"/>
  <c r="C11" i="7"/>
  <c r="H4" i="7"/>
  <c r="H3" i="7"/>
  <c r="W51" i="6"/>
  <c r="V51" i="6"/>
  <c r="U51" i="6"/>
  <c r="T51" i="6"/>
  <c r="S51" i="6"/>
  <c r="R51" i="6"/>
  <c r="Q51" i="6"/>
  <c r="P51" i="6"/>
  <c r="O51" i="6"/>
  <c r="N51" i="6"/>
  <c r="M51" i="6"/>
  <c r="L51" i="6"/>
  <c r="K51" i="6"/>
  <c r="J51" i="6"/>
  <c r="H51" i="6" s="1"/>
  <c r="I51" i="6"/>
  <c r="G51" i="6"/>
  <c r="F51" i="6"/>
  <c r="W50" i="6"/>
  <c r="V50" i="6"/>
  <c r="U50" i="6"/>
  <c r="T50" i="6"/>
  <c r="S50" i="6"/>
  <c r="R50" i="6"/>
  <c r="Q50" i="6"/>
  <c r="P50" i="6"/>
  <c r="O50" i="6"/>
  <c r="N50" i="6"/>
  <c r="M50" i="6"/>
  <c r="L50" i="6"/>
  <c r="K50" i="6"/>
  <c r="J50" i="6"/>
  <c r="H50" i="6" s="1"/>
  <c r="I50" i="6"/>
  <c r="G50" i="6"/>
  <c r="F50" i="6"/>
  <c r="W42" i="6"/>
  <c r="V42" i="6"/>
  <c r="U42" i="6"/>
  <c r="T42" i="6"/>
  <c r="S42" i="6"/>
  <c r="R42" i="6"/>
  <c r="Q42" i="6"/>
  <c r="P42" i="6"/>
  <c r="O42" i="6"/>
  <c r="N42" i="6"/>
  <c r="M42" i="6"/>
  <c r="L42" i="6"/>
  <c r="K42" i="6"/>
  <c r="J42" i="6"/>
  <c r="H42" i="6" s="1"/>
  <c r="I42" i="6"/>
  <c r="G42" i="6"/>
  <c r="F42" i="6"/>
  <c r="W46" i="6"/>
  <c r="V46" i="6"/>
  <c r="U46" i="6"/>
  <c r="T46" i="6"/>
  <c r="S46" i="6"/>
  <c r="R46" i="6"/>
  <c r="Q46" i="6"/>
  <c r="P46" i="6"/>
  <c r="O46" i="6"/>
  <c r="N46" i="6"/>
  <c r="M46" i="6"/>
  <c r="L46" i="6"/>
  <c r="K46" i="6"/>
  <c r="J46" i="6"/>
  <c r="I46" i="6"/>
  <c r="H46" i="6"/>
  <c r="G46" i="6"/>
  <c r="F46" i="6"/>
  <c r="V44" i="6"/>
  <c r="U44" i="6"/>
  <c r="R44" i="6"/>
  <c r="M44" i="6"/>
  <c r="L44" i="6"/>
  <c r="V45" i="6"/>
  <c r="R45" i="6"/>
  <c r="P45" i="6"/>
  <c r="V41" i="6"/>
  <c r="U41" i="6"/>
  <c r="S41" i="6"/>
  <c r="R41" i="6"/>
  <c r="P41" i="6"/>
  <c r="O41" i="6"/>
  <c r="M41" i="6"/>
  <c r="L41" i="6"/>
  <c r="K41" i="6"/>
  <c r="V43" i="6"/>
  <c r="S43" i="6"/>
  <c r="P43" i="6"/>
  <c r="V49" i="6"/>
  <c r="U49" i="6"/>
  <c r="T49" i="6"/>
  <c r="R49" i="6"/>
  <c r="P49" i="6"/>
  <c r="N49" i="6"/>
  <c r="M49" i="6"/>
  <c r="L49" i="6"/>
  <c r="J49" i="6"/>
  <c r="H49" i="6"/>
  <c r="F49" i="6"/>
  <c r="V40" i="6"/>
  <c r="U40" i="6"/>
  <c r="S40" i="6"/>
  <c r="R40" i="6"/>
  <c r="P40" i="6"/>
  <c r="O40" i="6"/>
  <c r="M40" i="6"/>
  <c r="L40" i="6"/>
  <c r="K40" i="6"/>
  <c r="F40" i="6"/>
  <c r="W47" i="6"/>
  <c r="V47" i="6"/>
  <c r="U47" i="6"/>
  <c r="T47" i="6"/>
  <c r="S47" i="6"/>
  <c r="R47" i="6"/>
  <c r="Q47" i="6"/>
  <c r="P47" i="6"/>
  <c r="O47" i="6"/>
  <c r="N47" i="6"/>
  <c r="M47" i="6"/>
  <c r="L47" i="6"/>
  <c r="K47" i="6"/>
  <c r="J47" i="6"/>
  <c r="H47" i="6" s="1"/>
  <c r="I47" i="6"/>
  <c r="G47" i="6"/>
  <c r="F47" i="6"/>
  <c r="H39" i="6"/>
  <c r="W35" i="6"/>
  <c r="V35" i="6"/>
  <c r="U35" i="6"/>
  <c r="T35" i="6"/>
  <c r="S35" i="6"/>
  <c r="R35" i="6"/>
  <c r="Q35" i="6"/>
  <c r="P35" i="6"/>
  <c r="O35" i="6"/>
  <c r="N35" i="6"/>
  <c r="M35" i="6"/>
  <c r="L35" i="6"/>
  <c r="K35" i="6"/>
  <c r="J35" i="6"/>
  <c r="I35" i="6"/>
  <c r="H35" i="6"/>
  <c r="G35" i="6"/>
  <c r="F35" i="6"/>
  <c r="W34" i="6"/>
  <c r="V34" i="6"/>
  <c r="U34" i="6"/>
  <c r="T34" i="6"/>
  <c r="S34" i="6"/>
  <c r="R34" i="6"/>
  <c r="Q34" i="6"/>
  <c r="P34" i="6"/>
  <c r="O34" i="6"/>
  <c r="N34" i="6"/>
  <c r="M34" i="6"/>
  <c r="L34" i="6"/>
  <c r="K34" i="6"/>
  <c r="J34" i="6"/>
  <c r="H34" i="6" s="1"/>
  <c r="I34" i="6"/>
  <c r="G34" i="6"/>
  <c r="F34" i="6"/>
  <c r="W33" i="6"/>
  <c r="V33" i="6"/>
  <c r="U33" i="6"/>
  <c r="T33" i="6"/>
  <c r="S33" i="6"/>
  <c r="R33" i="6"/>
  <c r="Q33" i="6"/>
  <c r="P33" i="6"/>
  <c r="O33" i="6"/>
  <c r="N33" i="6"/>
  <c r="M33" i="6"/>
  <c r="L33" i="6"/>
  <c r="K33" i="6"/>
  <c r="J33" i="6"/>
  <c r="H33" i="6" s="1"/>
  <c r="I33" i="6"/>
  <c r="G33" i="6"/>
  <c r="F33" i="6"/>
  <c r="W32" i="6"/>
  <c r="V32" i="6"/>
  <c r="U32" i="6"/>
  <c r="T32" i="6"/>
  <c r="S32" i="6"/>
  <c r="R32" i="6"/>
  <c r="Q32" i="6"/>
  <c r="P32" i="6"/>
  <c r="O32" i="6"/>
  <c r="N32" i="6"/>
  <c r="M32" i="6"/>
  <c r="L32" i="6"/>
  <c r="K32" i="6"/>
  <c r="J32" i="6"/>
  <c r="H32" i="6" s="1"/>
  <c r="I32" i="6"/>
  <c r="G32" i="6"/>
  <c r="F32" i="6"/>
  <c r="W31" i="6"/>
  <c r="V31" i="6"/>
  <c r="U31" i="6"/>
  <c r="T31" i="6"/>
  <c r="S31" i="6"/>
  <c r="R31" i="6"/>
  <c r="Q31" i="6"/>
  <c r="P31" i="6"/>
  <c r="O31" i="6"/>
  <c r="N31" i="6"/>
  <c r="M31" i="6"/>
  <c r="L31" i="6"/>
  <c r="K31" i="6"/>
  <c r="J31" i="6"/>
  <c r="I31" i="6"/>
  <c r="H31" i="6"/>
  <c r="G31" i="6"/>
  <c r="F31" i="6"/>
  <c r="R30" i="6"/>
  <c r="Q30" i="6"/>
  <c r="J30" i="6"/>
  <c r="H30" i="6" s="1"/>
  <c r="I30" i="6"/>
  <c r="W29" i="6"/>
  <c r="W30" i="6" s="1"/>
  <c r="V29" i="6"/>
  <c r="V30" i="6" s="1"/>
  <c r="U29" i="6"/>
  <c r="U30" i="6" s="1"/>
  <c r="T29" i="6"/>
  <c r="T30" i="6" s="1"/>
  <c r="S29" i="6"/>
  <c r="S30" i="6" s="1"/>
  <c r="R29" i="6"/>
  <c r="Q29" i="6"/>
  <c r="P29" i="6"/>
  <c r="P30" i="6" s="1"/>
  <c r="O29" i="6"/>
  <c r="O30" i="6" s="1"/>
  <c r="N29" i="6"/>
  <c r="N30" i="6" s="1"/>
  <c r="M29" i="6"/>
  <c r="M30" i="6" s="1"/>
  <c r="L29" i="6"/>
  <c r="L30" i="6" s="1"/>
  <c r="K29" i="6"/>
  <c r="K30" i="6" s="1"/>
  <c r="J29" i="6"/>
  <c r="H29" i="6" s="1"/>
  <c r="I29" i="6"/>
  <c r="G29" i="6"/>
  <c r="G30" i="6" s="1"/>
  <c r="F29" i="6"/>
  <c r="F30" i="6" s="1"/>
  <c r="W28" i="6"/>
  <c r="V28" i="6"/>
  <c r="U28" i="6"/>
  <c r="T28" i="6"/>
  <c r="S28" i="6"/>
  <c r="R28" i="6"/>
  <c r="Q28" i="6"/>
  <c r="P28" i="6"/>
  <c r="O28" i="6"/>
  <c r="N28" i="6"/>
  <c r="M28" i="6"/>
  <c r="L28" i="6"/>
  <c r="K28" i="6"/>
  <c r="J28" i="6"/>
  <c r="H28" i="6" s="1"/>
  <c r="I28" i="6"/>
  <c r="G28" i="6"/>
  <c r="F28" i="6"/>
  <c r="W27" i="6"/>
  <c r="V27" i="6"/>
  <c r="U27" i="6"/>
  <c r="T27" i="6"/>
  <c r="S27" i="6"/>
  <c r="R27" i="6"/>
  <c r="Q27" i="6"/>
  <c r="P27" i="6"/>
  <c r="O27" i="6"/>
  <c r="N27" i="6"/>
  <c r="M27" i="6"/>
  <c r="L27" i="6"/>
  <c r="K27" i="6"/>
  <c r="J27" i="6"/>
  <c r="I27" i="6"/>
  <c r="H27" i="6"/>
  <c r="G27" i="6"/>
  <c r="F27" i="6"/>
  <c r="W26" i="6"/>
  <c r="V26" i="6"/>
  <c r="U26" i="6"/>
  <c r="T26" i="6"/>
  <c r="S26" i="6"/>
  <c r="R26" i="6"/>
  <c r="Q26" i="6"/>
  <c r="P26" i="6"/>
  <c r="O26" i="6"/>
  <c r="N26" i="6"/>
  <c r="M26" i="6"/>
  <c r="L26" i="6"/>
  <c r="K26" i="6"/>
  <c r="J26" i="6"/>
  <c r="H26" i="6" s="1"/>
  <c r="I26" i="6"/>
  <c r="G26" i="6"/>
  <c r="F26" i="6"/>
  <c r="W25" i="6"/>
  <c r="V25" i="6"/>
  <c r="U25" i="6"/>
  <c r="T25" i="6"/>
  <c r="S25" i="6"/>
  <c r="R25" i="6"/>
  <c r="Q25" i="6"/>
  <c r="P25" i="6"/>
  <c r="O25" i="6"/>
  <c r="N25" i="6"/>
  <c r="M25" i="6"/>
  <c r="L25" i="6"/>
  <c r="K25" i="6"/>
  <c r="J25" i="6"/>
  <c r="H25" i="6" s="1"/>
  <c r="I25" i="6"/>
  <c r="G25" i="6"/>
  <c r="F25" i="6"/>
  <c r="W24" i="6"/>
  <c r="V24" i="6"/>
  <c r="U24" i="6"/>
  <c r="T24" i="6"/>
  <c r="S24" i="6"/>
  <c r="R24" i="6"/>
  <c r="Q24" i="6"/>
  <c r="P24" i="6"/>
  <c r="O24" i="6"/>
  <c r="N24" i="6"/>
  <c r="M24" i="6"/>
  <c r="L24" i="6"/>
  <c r="K24" i="6"/>
  <c r="J24" i="6"/>
  <c r="H24" i="6" s="1"/>
  <c r="I24" i="6"/>
  <c r="G24" i="6"/>
  <c r="F24" i="6"/>
  <c r="W23" i="6"/>
  <c r="V23" i="6"/>
  <c r="U23" i="6"/>
  <c r="T23" i="6"/>
  <c r="S23" i="6"/>
  <c r="R23" i="6"/>
  <c r="Q23" i="6"/>
  <c r="P23" i="6"/>
  <c r="O23" i="6"/>
  <c r="N23" i="6"/>
  <c r="M23" i="6"/>
  <c r="L23" i="6"/>
  <c r="K23" i="6"/>
  <c r="J23" i="6"/>
  <c r="I23" i="6"/>
  <c r="H23" i="6"/>
  <c r="G23" i="6"/>
  <c r="F23" i="6"/>
  <c r="W22" i="6"/>
  <c r="V22" i="6"/>
  <c r="U22" i="6"/>
  <c r="T22" i="6"/>
  <c r="S22" i="6"/>
  <c r="R22" i="6"/>
  <c r="Q22" i="6"/>
  <c r="P22" i="6"/>
  <c r="O22" i="6"/>
  <c r="N22" i="6"/>
  <c r="M22" i="6"/>
  <c r="L22" i="6"/>
  <c r="K22" i="6"/>
  <c r="J22" i="6"/>
  <c r="H22" i="6" s="1"/>
  <c r="I22" i="6"/>
  <c r="G22" i="6"/>
  <c r="F22" i="6"/>
  <c r="W21" i="6"/>
  <c r="V21" i="6"/>
  <c r="U21" i="6"/>
  <c r="T21" i="6"/>
  <c r="S21" i="6"/>
  <c r="R21" i="6"/>
  <c r="Q21" i="6"/>
  <c r="P21" i="6"/>
  <c r="O21" i="6"/>
  <c r="N21" i="6"/>
  <c r="M21" i="6"/>
  <c r="L21" i="6"/>
  <c r="K21" i="6"/>
  <c r="J21" i="6"/>
  <c r="H21" i="6" s="1"/>
  <c r="I21" i="6"/>
  <c r="G21" i="6"/>
  <c r="F21" i="6"/>
  <c r="W20" i="6"/>
  <c r="V20" i="6"/>
  <c r="U20" i="6"/>
  <c r="T20" i="6"/>
  <c r="S20" i="6"/>
  <c r="R20" i="6"/>
  <c r="Q20" i="6"/>
  <c r="P20" i="6"/>
  <c r="O20" i="6"/>
  <c r="N20" i="6"/>
  <c r="M20" i="6"/>
  <c r="L20" i="6"/>
  <c r="K20" i="6"/>
  <c r="J20" i="6"/>
  <c r="H20" i="6" s="1"/>
  <c r="I20" i="6"/>
  <c r="G20" i="6"/>
  <c r="F20" i="6"/>
  <c r="V19" i="6"/>
  <c r="U19" i="6"/>
  <c r="S19" i="6"/>
  <c r="R19" i="6"/>
  <c r="P19" i="6"/>
  <c r="O19" i="6"/>
  <c r="M19" i="6"/>
  <c r="L19" i="6"/>
  <c r="K19" i="6"/>
  <c r="W18" i="6"/>
  <c r="V18" i="6"/>
  <c r="U18" i="6"/>
  <c r="T18" i="6"/>
  <c r="S18" i="6"/>
  <c r="R18" i="6"/>
  <c r="Q18" i="6"/>
  <c r="P18" i="6"/>
  <c r="O18" i="6"/>
  <c r="N18" i="6"/>
  <c r="M18" i="6"/>
  <c r="L18" i="6"/>
  <c r="K18" i="6"/>
  <c r="J18" i="6"/>
  <c r="H18" i="6" s="1"/>
  <c r="I18" i="6"/>
  <c r="G18" i="6"/>
  <c r="F18" i="6"/>
  <c r="V17" i="6"/>
  <c r="U17" i="6"/>
  <c r="S17" i="6"/>
  <c r="S49" i="6" s="1"/>
  <c r="R17" i="6"/>
  <c r="P17" i="6"/>
  <c r="O17" i="6"/>
  <c r="O49" i="6" s="1"/>
  <c r="M17" i="6"/>
  <c r="L17" i="6"/>
  <c r="K17" i="6"/>
  <c r="K49" i="6" s="1"/>
  <c r="F17" i="6"/>
  <c r="C17" i="6"/>
  <c r="H16" i="6"/>
  <c r="V10" i="6"/>
  <c r="U10" i="6"/>
  <c r="S10" i="6"/>
  <c r="S44" i="6" s="1"/>
  <c r="R10" i="6"/>
  <c r="P10" i="6"/>
  <c r="P44" i="6" s="1"/>
  <c r="O10" i="6"/>
  <c r="O44" i="6" s="1"/>
  <c r="M10" i="6"/>
  <c r="L10" i="6"/>
  <c r="K10" i="6"/>
  <c r="K44" i="6" s="1"/>
  <c r="E10" i="6"/>
  <c r="D10" i="6"/>
  <c r="C10" i="6"/>
  <c r="B10" i="6"/>
  <c r="V9" i="6"/>
  <c r="U9" i="6"/>
  <c r="S9" i="6"/>
  <c r="R9" i="6"/>
  <c r="P9" i="6"/>
  <c r="O9" i="6"/>
  <c r="M9" i="6"/>
  <c r="L9" i="6"/>
  <c r="K9" i="6"/>
  <c r="E9" i="6"/>
  <c r="D9" i="6"/>
  <c r="C9" i="6"/>
  <c r="B9" i="6"/>
  <c r="V8" i="6"/>
  <c r="U8" i="6"/>
  <c r="U45" i="6" s="1"/>
  <c r="S8" i="6"/>
  <c r="S45" i="6" s="1"/>
  <c r="R8" i="6"/>
  <c r="P8" i="6"/>
  <c r="O8" i="6"/>
  <c r="O45" i="6" s="1"/>
  <c r="M8" i="6"/>
  <c r="M45" i="6" s="1"/>
  <c r="L8" i="6"/>
  <c r="L45" i="6" s="1"/>
  <c r="K8" i="6"/>
  <c r="K45" i="6" s="1"/>
  <c r="I8" i="6"/>
  <c r="G8" i="6"/>
  <c r="F8" i="6"/>
  <c r="E8" i="6"/>
  <c r="D8" i="6"/>
  <c r="C8" i="6"/>
  <c r="B8" i="6"/>
  <c r="V7" i="6"/>
  <c r="U7" i="6"/>
  <c r="S7" i="6"/>
  <c r="R7" i="6"/>
  <c r="P7" i="6"/>
  <c r="O7" i="6"/>
  <c r="M7" i="6"/>
  <c r="M43" i="6" s="1"/>
  <c r="L7" i="6"/>
  <c r="K7" i="6"/>
  <c r="E7" i="6"/>
  <c r="D7" i="6"/>
  <c r="B7" i="6"/>
  <c r="V6" i="6"/>
  <c r="S6" i="6"/>
  <c r="P6" i="6"/>
  <c r="M6" i="6"/>
  <c r="K6" i="6"/>
  <c r="K43" i="6" s="1"/>
  <c r="E6" i="6"/>
  <c r="D6" i="6"/>
  <c r="C6" i="6"/>
  <c r="B6" i="6"/>
  <c r="W5" i="6"/>
  <c r="V5" i="6"/>
  <c r="U5" i="6"/>
  <c r="T5" i="6"/>
  <c r="S5" i="6"/>
  <c r="R5" i="6"/>
  <c r="Q5" i="6"/>
  <c r="P5" i="6"/>
  <c r="O5" i="6"/>
  <c r="N5" i="6"/>
  <c r="M5" i="6"/>
  <c r="L5" i="6"/>
  <c r="K5" i="6"/>
  <c r="I5" i="6"/>
  <c r="G5" i="6"/>
  <c r="F5" i="6"/>
  <c r="C5" i="6"/>
  <c r="H4" i="6"/>
  <c r="H3" i="6"/>
  <c r="H41" i="5"/>
  <c r="H16" i="5"/>
  <c r="H4" i="5"/>
  <c r="H3" i="5"/>
  <c r="E48" i="5"/>
  <c r="F48" i="5"/>
  <c r="G48" i="5"/>
  <c r="I48" i="5"/>
  <c r="J48" i="5"/>
  <c r="H48" i="5" s="1"/>
  <c r="K48" i="5"/>
  <c r="L48" i="5"/>
  <c r="M48" i="5"/>
  <c r="N48" i="5"/>
  <c r="O48" i="5"/>
  <c r="P48" i="5"/>
  <c r="Q48" i="5"/>
  <c r="R48" i="5"/>
  <c r="S48" i="5"/>
  <c r="T48" i="5"/>
  <c r="U48" i="5"/>
  <c r="V48" i="5"/>
  <c r="W48" i="5"/>
  <c r="D44" i="5"/>
  <c r="E44" i="5"/>
  <c r="F44" i="5"/>
  <c r="G44" i="5"/>
  <c r="I44" i="5"/>
  <c r="J44" i="5"/>
  <c r="H44" i="5" s="1"/>
  <c r="K44" i="5"/>
  <c r="L44" i="5"/>
  <c r="M44" i="5"/>
  <c r="N44" i="5"/>
  <c r="O44" i="5"/>
  <c r="P44" i="5"/>
  <c r="Q44" i="5"/>
  <c r="R44" i="5"/>
  <c r="S44" i="5"/>
  <c r="T44" i="5"/>
  <c r="U44" i="5"/>
  <c r="V44" i="5"/>
  <c r="W44" i="5"/>
  <c r="D53" i="5"/>
  <c r="E53" i="5"/>
  <c r="F53" i="5"/>
  <c r="G53" i="5"/>
  <c r="I53" i="5"/>
  <c r="J53" i="5"/>
  <c r="H53" i="5" s="1"/>
  <c r="K53" i="5"/>
  <c r="L53" i="5"/>
  <c r="M53" i="5"/>
  <c r="N53" i="5"/>
  <c r="O53" i="5"/>
  <c r="P53" i="5"/>
  <c r="Q53" i="5"/>
  <c r="R53" i="5"/>
  <c r="S53" i="5"/>
  <c r="T53" i="5"/>
  <c r="U53" i="5"/>
  <c r="V53" i="5"/>
  <c r="W53" i="5"/>
  <c r="D54" i="5"/>
  <c r="E54" i="5"/>
  <c r="F54" i="5"/>
  <c r="G54" i="5"/>
  <c r="I54" i="5"/>
  <c r="J54" i="5"/>
  <c r="H54" i="5" s="1"/>
  <c r="K54" i="5"/>
  <c r="L54" i="5"/>
  <c r="M54" i="5"/>
  <c r="N54" i="5"/>
  <c r="O54" i="5"/>
  <c r="P54" i="5"/>
  <c r="Q54" i="5"/>
  <c r="R54" i="5"/>
  <c r="S54" i="5"/>
  <c r="T54" i="5"/>
  <c r="U54" i="5"/>
  <c r="V54" i="5"/>
  <c r="W54" i="5"/>
  <c r="C44" i="5"/>
  <c r="C53" i="5"/>
  <c r="C54" i="5"/>
  <c r="C48" i="5"/>
  <c r="D43" i="5"/>
  <c r="E43" i="5"/>
  <c r="K43" i="5"/>
  <c r="L43" i="5"/>
  <c r="M43" i="5"/>
  <c r="O43" i="5"/>
  <c r="P43" i="5"/>
  <c r="R43" i="5"/>
  <c r="S43" i="5"/>
  <c r="U43" i="5"/>
  <c r="V43" i="5"/>
  <c r="C43" i="5"/>
  <c r="I71" i="1"/>
  <c r="P71" i="1" s="1"/>
  <c r="R71" i="1" s="1"/>
  <c r="D51" i="5"/>
  <c r="C51" i="5"/>
  <c r="D42" i="5"/>
  <c r="E42" i="5"/>
  <c r="F42" i="5"/>
  <c r="K42" i="5"/>
  <c r="L42" i="5"/>
  <c r="M42" i="5"/>
  <c r="O42" i="5"/>
  <c r="P42" i="5"/>
  <c r="R42" i="5"/>
  <c r="S42" i="5"/>
  <c r="U42" i="5"/>
  <c r="V42" i="5"/>
  <c r="C42" i="5"/>
  <c r="D50" i="5"/>
  <c r="E50" i="5"/>
  <c r="F50" i="5"/>
  <c r="G50" i="5"/>
  <c r="I50" i="5"/>
  <c r="J50" i="5"/>
  <c r="H50" i="5" s="1"/>
  <c r="K50" i="5"/>
  <c r="L50" i="5"/>
  <c r="M50" i="5"/>
  <c r="N50" i="5"/>
  <c r="O50" i="5"/>
  <c r="P50" i="5"/>
  <c r="Q50" i="5"/>
  <c r="R50" i="5"/>
  <c r="S50" i="5"/>
  <c r="T50" i="5"/>
  <c r="U50" i="5"/>
  <c r="V50" i="5"/>
  <c r="W50" i="5"/>
  <c r="C50" i="5"/>
  <c r="S71" i="1"/>
  <c r="U71" i="1" s="1"/>
  <c r="J71" i="1"/>
  <c r="L71" i="1" s="1"/>
  <c r="S70" i="1"/>
  <c r="U70" i="1" s="1"/>
  <c r="R70" i="1"/>
  <c r="P70" i="1"/>
  <c r="M70" i="1"/>
  <c r="O70" i="1" s="1"/>
  <c r="J70" i="1"/>
  <c r="L70" i="1" s="1"/>
  <c r="S69" i="1"/>
  <c r="U69" i="1" s="1"/>
  <c r="P69" i="1"/>
  <c r="R69" i="1" s="1"/>
  <c r="M69" i="1"/>
  <c r="O69" i="1" s="1"/>
  <c r="J69" i="1"/>
  <c r="L69" i="1" s="1"/>
  <c r="S68" i="1"/>
  <c r="U68" i="1" s="1"/>
  <c r="P68" i="1"/>
  <c r="R68" i="1" s="1"/>
  <c r="M68" i="1"/>
  <c r="O68" i="1" s="1"/>
  <c r="J68" i="1"/>
  <c r="L68" i="1" s="1"/>
  <c r="Y68" i="1"/>
  <c r="Z68" i="1" s="1"/>
  <c r="F68" i="1" s="1"/>
  <c r="Y69" i="1"/>
  <c r="Z69" i="1" s="1"/>
  <c r="F69" i="1" s="1"/>
  <c r="Y70" i="1"/>
  <c r="Z70" i="1" s="1"/>
  <c r="F70" i="1" s="1"/>
  <c r="G70" i="1" s="1"/>
  <c r="H71" i="1"/>
  <c r="G71" i="1"/>
  <c r="F71" i="1"/>
  <c r="Y71" i="1"/>
  <c r="Z71" i="1" s="1"/>
  <c r="G27" i="5"/>
  <c r="I27" i="5"/>
  <c r="J27" i="5"/>
  <c r="H27" i="5" s="1"/>
  <c r="K27" i="5"/>
  <c r="L27" i="5"/>
  <c r="M27" i="5"/>
  <c r="N27" i="5"/>
  <c r="O27" i="5"/>
  <c r="P27" i="5"/>
  <c r="Q27" i="5"/>
  <c r="R27" i="5"/>
  <c r="S27" i="5"/>
  <c r="T27" i="5"/>
  <c r="U27" i="5"/>
  <c r="V27" i="5"/>
  <c r="W27" i="5"/>
  <c r="F27" i="5"/>
  <c r="G37" i="5"/>
  <c r="I37" i="5"/>
  <c r="J37" i="5"/>
  <c r="H37" i="5" s="1"/>
  <c r="K37" i="5"/>
  <c r="L37" i="5"/>
  <c r="M37" i="5"/>
  <c r="N37" i="5"/>
  <c r="O37" i="5"/>
  <c r="P37" i="5"/>
  <c r="Q37" i="5"/>
  <c r="R37" i="5"/>
  <c r="S37" i="5"/>
  <c r="T37" i="5"/>
  <c r="U37" i="5"/>
  <c r="V37" i="5"/>
  <c r="W37" i="5"/>
  <c r="S43" i="1"/>
  <c r="U43" i="1" s="1"/>
  <c r="P43" i="1"/>
  <c r="R43" i="1" s="1"/>
  <c r="M43" i="1"/>
  <c r="O43" i="1" s="1"/>
  <c r="J43" i="1"/>
  <c r="L43" i="1" s="1"/>
  <c r="H43" i="1"/>
  <c r="E43" i="1"/>
  <c r="F37" i="5"/>
  <c r="G36" i="5"/>
  <c r="I36" i="5"/>
  <c r="J36" i="5"/>
  <c r="H36" i="5" s="1"/>
  <c r="K36" i="5"/>
  <c r="L36" i="5"/>
  <c r="M36" i="5"/>
  <c r="N36" i="5"/>
  <c r="O36" i="5"/>
  <c r="P36" i="5"/>
  <c r="Q36" i="5"/>
  <c r="R36" i="5"/>
  <c r="S36" i="5"/>
  <c r="T36" i="5"/>
  <c r="U36" i="5"/>
  <c r="V36" i="5"/>
  <c r="W36" i="5"/>
  <c r="F36" i="5"/>
  <c r="G26" i="5"/>
  <c r="I26" i="5"/>
  <c r="J26" i="5"/>
  <c r="H26" i="5" s="1"/>
  <c r="K26" i="5"/>
  <c r="L26" i="5"/>
  <c r="M26" i="5"/>
  <c r="N26" i="5"/>
  <c r="O26" i="5"/>
  <c r="P26" i="5"/>
  <c r="Q26" i="5"/>
  <c r="R26" i="5"/>
  <c r="S26" i="5"/>
  <c r="T26" i="5"/>
  <c r="U26" i="5"/>
  <c r="V26" i="5"/>
  <c r="W26" i="5"/>
  <c r="F26" i="5"/>
  <c r="G35" i="5"/>
  <c r="I35" i="5"/>
  <c r="J35" i="5"/>
  <c r="H35" i="5" s="1"/>
  <c r="K35" i="5"/>
  <c r="L35" i="5"/>
  <c r="M35" i="5"/>
  <c r="N35" i="5"/>
  <c r="O35" i="5"/>
  <c r="P35" i="5"/>
  <c r="Q35" i="5"/>
  <c r="R35" i="5"/>
  <c r="S35" i="5"/>
  <c r="T35" i="5"/>
  <c r="U35" i="5"/>
  <c r="V35" i="5"/>
  <c r="F35" i="5"/>
  <c r="G24" i="5"/>
  <c r="I24" i="5"/>
  <c r="J24" i="5"/>
  <c r="K24" i="5"/>
  <c r="L24" i="5"/>
  <c r="M24" i="5"/>
  <c r="N24" i="5"/>
  <c r="O24" i="5"/>
  <c r="P24" i="5"/>
  <c r="Q24" i="5"/>
  <c r="R24" i="5"/>
  <c r="S24" i="5"/>
  <c r="T24" i="5"/>
  <c r="U24" i="5"/>
  <c r="V24" i="5"/>
  <c r="W24" i="5"/>
  <c r="F24" i="5"/>
  <c r="G22" i="5"/>
  <c r="I22" i="5"/>
  <c r="J22" i="5"/>
  <c r="H22" i="5" s="1"/>
  <c r="K22" i="5"/>
  <c r="L22" i="5"/>
  <c r="M22" i="5"/>
  <c r="N22" i="5"/>
  <c r="O22" i="5"/>
  <c r="P22" i="5"/>
  <c r="Q22" i="5"/>
  <c r="R22" i="5"/>
  <c r="S22" i="5"/>
  <c r="T22" i="5"/>
  <c r="U22" i="5"/>
  <c r="V22" i="5"/>
  <c r="W22" i="5"/>
  <c r="F22" i="5"/>
  <c r="G21" i="5"/>
  <c r="I21" i="5"/>
  <c r="J21" i="5"/>
  <c r="H21" i="5" s="1"/>
  <c r="K21" i="5"/>
  <c r="L21" i="5"/>
  <c r="M21" i="5"/>
  <c r="N21" i="5"/>
  <c r="O21" i="5"/>
  <c r="P21" i="5"/>
  <c r="Q21" i="5"/>
  <c r="R21" i="5"/>
  <c r="S21" i="5"/>
  <c r="T21" i="5"/>
  <c r="U21" i="5"/>
  <c r="V21" i="5"/>
  <c r="W21" i="5"/>
  <c r="F21" i="5"/>
  <c r="G31" i="5"/>
  <c r="I31" i="5"/>
  <c r="J31" i="5"/>
  <c r="H31" i="5" s="1"/>
  <c r="K31" i="5"/>
  <c r="L31" i="5"/>
  <c r="M31" i="5"/>
  <c r="N31" i="5"/>
  <c r="O31" i="5"/>
  <c r="P31" i="5"/>
  <c r="Q31" i="5"/>
  <c r="R31" i="5"/>
  <c r="S31" i="5"/>
  <c r="T31" i="5"/>
  <c r="U31" i="5"/>
  <c r="V31" i="5"/>
  <c r="W31" i="5"/>
  <c r="F31" i="5"/>
  <c r="G30" i="5"/>
  <c r="I30" i="5"/>
  <c r="J30" i="5"/>
  <c r="H30" i="5" s="1"/>
  <c r="K30" i="5"/>
  <c r="L30" i="5"/>
  <c r="M30" i="5"/>
  <c r="N30" i="5"/>
  <c r="O30" i="5"/>
  <c r="P30" i="5"/>
  <c r="Q30" i="5"/>
  <c r="R30" i="5"/>
  <c r="S30" i="5"/>
  <c r="T30" i="5"/>
  <c r="U30" i="5"/>
  <c r="V30" i="5"/>
  <c r="W30" i="5"/>
  <c r="F30" i="5"/>
  <c r="G29" i="5"/>
  <c r="I29" i="5"/>
  <c r="J29" i="5"/>
  <c r="H29" i="5" s="1"/>
  <c r="K29" i="5"/>
  <c r="L29" i="5"/>
  <c r="M29" i="5"/>
  <c r="N29" i="5"/>
  <c r="O29" i="5"/>
  <c r="P29" i="5"/>
  <c r="Q29" i="5"/>
  <c r="R29" i="5"/>
  <c r="S29" i="5"/>
  <c r="T29" i="5"/>
  <c r="U29" i="5"/>
  <c r="V29" i="5"/>
  <c r="W29" i="5"/>
  <c r="F29" i="5"/>
  <c r="G19" i="5"/>
  <c r="I19" i="5"/>
  <c r="J19" i="5"/>
  <c r="H19" i="5" s="1"/>
  <c r="K19" i="5"/>
  <c r="L19" i="5"/>
  <c r="M19" i="5"/>
  <c r="N19" i="5"/>
  <c r="O19" i="5"/>
  <c r="P19" i="5"/>
  <c r="Q19" i="5"/>
  <c r="R19" i="5"/>
  <c r="S19" i="5"/>
  <c r="T19" i="5"/>
  <c r="U19" i="5"/>
  <c r="V19" i="5"/>
  <c r="W19" i="5"/>
  <c r="F19" i="5"/>
  <c r="G18" i="5"/>
  <c r="I18" i="5"/>
  <c r="J18" i="5"/>
  <c r="H18" i="5" s="1"/>
  <c r="K18" i="5"/>
  <c r="L18" i="5"/>
  <c r="M18" i="5"/>
  <c r="N18" i="5"/>
  <c r="O18" i="5"/>
  <c r="P18" i="5"/>
  <c r="Q18" i="5"/>
  <c r="R18" i="5"/>
  <c r="S18" i="5"/>
  <c r="T18" i="5"/>
  <c r="U18" i="5"/>
  <c r="V18" i="5"/>
  <c r="W18" i="5"/>
  <c r="F18" i="5"/>
  <c r="G17" i="5"/>
  <c r="I17" i="5"/>
  <c r="J17" i="5"/>
  <c r="H17" i="5" s="1"/>
  <c r="K17" i="5"/>
  <c r="L17" i="5"/>
  <c r="M17" i="5"/>
  <c r="N17" i="5"/>
  <c r="O17" i="5"/>
  <c r="P17" i="5"/>
  <c r="Q17" i="5"/>
  <c r="R17" i="5"/>
  <c r="S17" i="5"/>
  <c r="T17" i="5"/>
  <c r="U17" i="5"/>
  <c r="V17" i="5"/>
  <c r="W17" i="5"/>
  <c r="F17" i="5"/>
  <c r="F20" i="5"/>
  <c r="G20" i="5"/>
  <c r="I20" i="5"/>
  <c r="J20" i="5"/>
  <c r="H20" i="5" s="1"/>
  <c r="K20" i="5"/>
  <c r="L20" i="5"/>
  <c r="M20" i="5"/>
  <c r="N20" i="5"/>
  <c r="O20" i="5"/>
  <c r="P20" i="5"/>
  <c r="Q20" i="5"/>
  <c r="R20" i="5"/>
  <c r="S20" i="5"/>
  <c r="T20" i="5"/>
  <c r="U20" i="5"/>
  <c r="V20" i="5"/>
  <c r="W20" i="5"/>
  <c r="C7" i="5"/>
  <c r="C46" i="5" s="1"/>
  <c r="D7" i="5"/>
  <c r="E7" i="5"/>
  <c r="E46" i="5" s="1"/>
  <c r="K7" i="5"/>
  <c r="K46" i="5" s="1"/>
  <c r="L7" i="5"/>
  <c r="L46" i="5" s="1"/>
  <c r="M7" i="5"/>
  <c r="M46" i="5" s="1"/>
  <c r="O7" i="5"/>
  <c r="O46" i="5" s="1"/>
  <c r="P7" i="5"/>
  <c r="P46" i="5" s="1"/>
  <c r="R7" i="5"/>
  <c r="R46" i="5" s="1"/>
  <c r="S7" i="5"/>
  <c r="S46" i="5" s="1"/>
  <c r="U7" i="5"/>
  <c r="U46" i="5" s="1"/>
  <c r="V7" i="5"/>
  <c r="V46" i="5" s="1"/>
  <c r="B7" i="5"/>
  <c r="K23" i="5"/>
  <c r="L23" i="5"/>
  <c r="M23" i="5"/>
  <c r="O23" i="5"/>
  <c r="P23" i="5"/>
  <c r="R23" i="5"/>
  <c r="S23" i="5"/>
  <c r="U23" i="5"/>
  <c r="V23" i="5"/>
  <c r="V48" i="6" s="1"/>
  <c r="H32" i="5"/>
  <c r="L32" i="5"/>
  <c r="M32" i="5"/>
  <c r="O32" i="5"/>
  <c r="P32" i="5"/>
  <c r="R32" i="5"/>
  <c r="S32" i="5"/>
  <c r="U32" i="5"/>
  <c r="V32" i="5"/>
  <c r="C25" i="5"/>
  <c r="C52" i="5" s="1"/>
  <c r="F25" i="5"/>
  <c r="K25" i="5"/>
  <c r="L25" i="5"/>
  <c r="M25" i="5"/>
  <c r="O25" i="5"/>
  <c r="P25" i="5"/>
  <c r="R25" i="5"/>
  <c r="S25" i="5"/>
  <c r="U25" i="5"/>
  <c r="V25" i="5"/>
  <c r="C9" i="5"/>
  <c r="D9" i="5"/>
  <c r="E9" i="5"/>
  <c r="K9" i="5"/>
  <c r="L9" i="5"/>
  <c r="M9" i="5"/>
  <c r="O9" i="5"/>
  <c r="P9" i="5"/>
  <c r="R9" i="5"/>
  <c r="S9" i="5"/>
  <c r="U9" i="5"/>
  <c r="V9" i="5"/>
  <c r="B9" i="5"/>
  <c r="C8" i="5"/>
  <c r="D8" i="5"/>
  <c r="E8" i="5"/>
  <c r="E47" i="5" s="1"/>
  <c r="F8" i="5"/>
  <c r="F47" i="5" s="1"/>
  <c r="G8" i="5"/>
  <c r="G47" i="5" s="1"/>
  <c r="I8" i="5"/>
  <c r="I47" i="5" s="1"/>
  <c r="K8" i="5"/>
  <c r="K47" i="5" s="1"/>
  <c r="L8" i="5"/>
  <c r="L47" i="5" s="1"/>
  <c r="M8" i="5"/>
  <c r="M47" i="5" s="1"/>
  <c r="O8" i="5"/>
  <c r="O47" i="5" s="1"/>
  <c r="P8" i="5"/>
  <c r="P47" i="5" s="1"/>
  <c r="R8" i="5"/>
  <c r="R47" i="5" s="1"/>
  <c r="S8" i="5"/>
  <c r="S47" i="5" s="1"/>
  <c r="U8" i="5"/>
  <c r="U47" i="5" s="1"/>
  <c r="V8" i="5"/>
  <c r="V47" i="5" s="1"/>
  <c r="B8" i="5"/>
  <c r="E6" i="5"/>
  <c r="D6" i="5"/>
  <c r="K6" i="5"/>
  <c r="K45" i="5" s="1"/>
  <c r="L6" i="5"/>
  <c r="L45" i="5" s="1"/>
  <c r="M6" i="5"/>
  <c r="M45" i="5" s="1"/>
  <c r="O6" i="5"/>
  <c r="O45" i="5" s="1"/>
  <c r="P6" i="5"/>
  <c r="P45" i="5" s="1"/>
  <c r="R6" i="5"/>
  <c r="R45" i="5" s="1"/>
  <c r="S6" i="5"/>
  <c r="S45" i="5" s="1"/>
  <c r="U6" i="5"/>
  <c r="U45" i="5" s="1"/>
  <c r="V6" i="5"/>
  <c r="V45" i="5" s="1"/>
  <c r="B6" i="5"/>
  <c r="C5" i="5"/>
  <c r="D5" i="5"/>
  <c r="E5" i="5"/>
  <c r="K5" i="5"/>
  <c r="M5" i="5"/>
  <c r="P5" i="5"/>
  <c r="S5" i="5"/>
  <c r="V5" i="5"/>
  <c r="B5" i="5"/>
  <c r="C10" i="5"/>
  <c r="F10" i="5"/>
  <c r="F49" i="5" s="1"/>
  <c r="G10" i="5"/>
  <c r="G49" i="5" s="1"/>
  <c r="I10" i="5"/>
  <c r="I49" i="5" s="1"/>
  <c r="K10" i="5"/>
  <c r="K49" i="5" s="1"/>
  <c r="L10" i="5"/>
  <c r="L49" i="5" s="1"/>
  <c r="M10" i="5"/>
  <c r="M49" i="5" s="1"/>
  <c r="N10" i="5"/>
  <c r="N49" i="5" s="1"/>
  <c r="O10" i="5"/>
  <c r="O49" i="5" s="1"/>
  <c r="P10" i="5"/>
  <c r="P49" i="5" s="1"/>
  <c r="Q10" i="5"/>
  <c r="Q49" i="5" s="1"/>
  <c r="R10" i="5"/>
  <c r="R49" i="5" s="1"/>
  <c r="S10" i="5"/>
  <c r="S49" i="5" s="1"/>
  <c r="T10" i="5"/>
  <c r="T49" i="5" s="1"/>
  <c r="U10" i="5"/>
  <c r="U49" i="5" s="1"/>
  <c r="V10" i="5"/>
  <c r="V49" i="5" s="1"/>
  <c r="W10" i="5"/>
  <c r="W49" i="5" s="1"/>
  <c r="C47" i="5" l="1"/>
  <c r="L48" i="6"/>
  <c r="K48" i="6"/>
  <c r="S51" i="5"/>
  <c r="M48" i="6"/>
  <c r="U51" i="5"/>
  <c r="L52" i="5"/>
  <c r="R51" i="5"/>
  <c r="O49" i="8"/>
  <c r="M52" i="5"/>
  <c r="O49" i="7"/>
  <c r="U48" i="6"/>
  <c r="M49" i="8"/>
  <c r="K49" i="7"/>
  <c r="V49" i="7"/>
  <c r="S49" i="7"/>
  <c r="L49" i="8"/>
  <c r="R48" i="6"/>
  <c r="R49" i="7"/>
  <c r="S48" i="6"/>
  <c r="K49" i="8"/>
  <c r="R49" i="8"/>
  <c r="V52" i="5"/>
  <c r="S49" i="8"/>
  <c r="O52" i="5"/>
  <c r="P48" i="6"/>
  <c r="P49" i="7"/>
  <c r="O48" i="6"/>
  <c r="U49" i="7"/>
  <c r="U52" i="5"/>
  <c r="S52" i="5"/>
  <c r="M51" i="5"/>
  <c r="L49" i="7"/>
  <c r="V49" i="8"/>
  <c r="R52" i="5"/>
  <c r="L51" i="5"/>
  <c r="M49" i="7"/>
  <c r="P49" i="8"/>
  <c r="P51" i="5"/>
  <c r="O51" i="5"/>
  <c r="U49" i="8"/>
  <c r="H24" i="5"/>
  <c r="P52" i="5"/>
  <c r="V51" i="5"/>
  <c r="K51" i="5"/>
  <c r="K52" i="5"/>
  <c r="R50" i="7"/>
  <c r="N33" i="7"/>
  <c r="V33" i="7"/>
  <c r="M33" i="7"/>
  <c r="K50" i="7"/>
  <c r="S50" i="7"/>
  <c r="F33" i="7"/>
  <c r="O33" i="7"/>
  <c r="W33" i="7"/>
  <c r="U33" i="7"/>
  <c r="L50" i="7"/>
  <c r="G33" i="7"/>
  <c r="P33" i="7"/>
  <c r="M50" i="7"/>
  <c r="U50" i="7"/>
  <c r="I33" i="7"/>
  <c r="Q33" i="7"/>
  <c r="P47" i="7"/>
  <c r="H25" i="7"/>
  <c r="O47" i="7"/>
  <c r="R47" i="7"/>
  <c r="P44" i="7"/>
  <c r="K47" i="7"/>
  <c r="S47" i="7"/>
  <c r="S44" i="7"/>
  <c r="O44" i="7"/>
  <c r="K44" i="7"/>
  <c r="M71" i="1"/>
  <c r="O71" i="1" s="1"/>
  <c r="H68" i="1"/>
  <c r="G68" i="1"/>
  <c r="G69" i="1"/>
  <c r="H69" i="1"/>
  <c r="H70" i="1"/>
  <c r="G43" i="1"/>
  <c r="F43" i="1"/>
  <c r="E51" i="1" l="1"/>
  <c r="E52" i="1" s="1"/>
  <c r="I50" i="1"/>
  <c r="S58" i="1"/>
  <c r="P58" i="1"/>
  <c r="M58" i="1"/>
  <c r="J58" i="1"/>
  <c r="S57" i="1"/>
  <c r="P57" i="1"/>
  <c r="M57" i="1"/>
  <c r="J57" i="1"/>
  <c r="I58" i="1"/>
  <c r="I57" i="1"/>
  <c r="G34" i="1"/>
  <c r="H34" i="1"/>
  <c r="E32" i="1"/>
  <c r="F23" i="5" l="1"/>
  <c r="F52" i="5" s="1"/>
  <c r="F19" i="6"/>
  <c r="F24" i="7"/>
  <c r="F50" i="7" s="1"/>
  <c r="H40" i="1"/>
  <c r="H41" i="1"/>
  <c r="H28" i="1"/>
  <c r="H29" i="1"/>
  <c r="H30" i="1"/>
  <c r="H32" i="1"/>
  <c r="H33" i="1"/>
  <c r="H35" i="1"/>
  <c r="H36" i="1"/>
  <c r="H37" i="1"/>
  <c r="H38" i="1"/>
  <c r="H39" i="1"/>
  <c r="F14" i="1"/>
  <c r="H14" i="1" s="1"/>
  <c r="F15" i="1"/>
  <c r="H15" i="1" s="1"/>
  <c r="F25" i="1"/>
  <c r="H25" i="1" s="1"/>
  <c r="F26" i="1"/>
  <c r="H26" i="1" s="1"/>
  <c r="Y27" i="1"/>
  <c r="Z27" i="1" s="1"/>
  <c r="F27" i="1" s="1"/>
  <c r="H27" i="1" s="1"/>
  <c r="Y26" i="1"/>
  <c r="Z26" i="1" s="1"/>
  <c r="Y25" i="1"/>
  <c r="Z25" i="1" s="1"/>
  <c r="Y24" i="1"/>
  <c r="Z24" i="1" s="1"/>
  <c r="F24" i="1" s="1"/>
  <c r="H24" i="1" s="1"/>
  <c r="Y23" i="1"/>
  <c r="Z23" i="1" s="1"/>
  <c r="F23" i="1" s="1"/>
  <c r="H23" i="1" s="1"/>
  <c r="Y22" i="1"/>
  <c r="Z22" i="1" s="1"/>
  <c r="F22" i="1" s="1"/>
  <c r="H22" i="1" s="1"/>
  <c r="Y21" i="1"/>
  <c r="Z21" i="1" s="1"/>
  <c r="F21" i="1" s="1"/>
  <c r="H21" i="1" s="1"/>
  <c r="Y19" i="1"/>
  <c r="Z19" i="1" s="1"/>
  <c r="F19" i="1" s="1"/>
  <c r="H19" i="1" s="1"/>
  <c r="Y15" i="1"/>
  <c r="Z15" i="1" s="1"/>
  <c r="Y13" i="1"/>
  <c r="Z13" i="1" s="1"/>
  <c r="F13" i="1" s="1"/>
  <c r="H13" i="1" s="1"/>
  <c r="Y14" i="1"/>
  <c r="Z14" i="1" s="1"/>
  <c r="Y16" i="1"/>
  <c r="Z16" i="1" s="1"/>
  <c r="F16" i="1" s="1"/>
  <c r="H16" i="1" s="1"/>
  <c r="Y17" i="1"/>
  <c r="Z17" i="1" s="1"/>
  <c r="F17" i="1" s="1"/>
  <c r="H17" i="1" s="1"/>
  <c r="Y18" i="1"/>
  <c r="Z18" i="1" s="1"/>
  <c r="F18" i="1" s="1"/>
  <c r="H18" i="1" s="1"/>
  <c r="Y20" i="1"/>
  <c r="Z20" i="1" s="1"/>
  <c r="F20" i="1" s="1"/>
  <c r="H20" i="1" s="1"/>
  <c r="Y12" i="1"/>
  <c r="Z12" i="1" s="1"/>
  <c r="F12" i="1" s="1"/>
  <c r="H12" i="1" s="1"/>
  <c r="C3" i="2"/>
  <c r="I35" i="1"/>
  <c r="I40" i="1"/>
  <c r="F51" i="5" l="1"/>
  <c r="F49" i="8"/>
  <c r="F49" i="7"/>
  <c r="F48" i="6"/>
  <c r="J5" i="6" l="1"/>
  <c r="H5" i="6" s="1"/>
  <c r="J11" i="7"/>
  <c r="H11" i="7" s="1"/>
  <c r="J10" i="5"/>
  <c r="S60" i="1"/>
  <c r="P60" i="1"/>
  <c r="M60" i="1"/>
  <c r="J60" i="1"/>
  <c r="S59" i="1"/>
  <c r="P59" i="1"/>
  <c r="M59" i="1"/>
  <c r="J59" i="1"/>
  <c r="F60" i="1"/>
  <c r="H60" i="1" s="1"/>
  <c r="K55" i="1"/>
  <c r="N55" i="1"/>
  <c r="Q55" i="1"/>
  <c r="T55" i="1"/>
  <c r="I36" i="1"/>
  <c r="I54" i="1" s="1"/>
  <c r="I61" i="1" s="1"/>
  <c r="J53" i="1"/>
  <c r="I46" i="1"/>
  <c r="I41" i="1"/>
  <c r="I48" i="1"/>
  <c r="S48" i="1" s="1"/>
  <c r="S47" i="1" s="1"/>
  <c r="K47" i="1"/>
  <c r="N47" i="1"/>
  <c r="Q47" i="1"/>
  <c r="T47" i="1"/>
  <c r="J9" i="7" l="1"/>
  <c r="H9" i="7" s="1"/>
  <c r="J8" i="5"/>
  <c r="J8" i="6"/>
  <c r="H8" i="6" s="1"/>
  <c r="L6" i="7"/>
  <c r="L6" i="6"/>
  <c r="L43" i="6" s="1"/>
  <c r="L5" i="5"/>
  <c r="H10" i="5"/>
  <c r="H49" i="5" s="1"/>
  <c r="J49" i="5"/>
  <c r="G6" i="7"/>
  <c r="G5" i="5"/>
  <c r="G6" i="6"/>
  <c r="F6" i="7"/>
  <c r="F6" i="6"/>
  <c r="F43" i="6" s="1"/>
  <c r="F5" i="5"/>
  <c r="F54" i="1"/>
  <c r="H53" i="1"/>
  <c r="I55" i="1"/>
  <c r="I56" i="1" s="1"/>
  <c r="J54" i="1"/>
  <c r="J55" i="1" s="1"/>
  <c r="M54" i="1"/>
  <c r="M55" i="1" s="1"/>
  <c r="P54" i="1"/>
  <c r="P55" i="1" s="1"/>
  <c r="S54" i="1"/>
  <c r="S55" i="1" s="1"/>
  <c r="M53" i="1"/>
  <c r="P53" i="1"/>
  <c r="S53" i="1"/>
  <c r="I63" i="1"/>
  <c r="I64" i="1" s="1"/>
  <c r="P61" i="1"/>
  <c r="M61" i="1"/>
  <c r="J61" i="1"/>
  <c r="S61" i="1"/>
  <c r="M56" i="1"/>
  <c r="S56" i="1"/>
  <c r="P56" i="1"/>
  <c r="J56" i="1"/>
  <c r="J48" i="1"/>
  <c r="J47" i="1" s="1"/>
  <c r="M48" i="1"/>
  <c r="M47" i="1" s="1"/>
  <c r="I47" i="1"/>
  <c r="P48" i="1"/>
  <c r="P47" i="1" s="1"/>
  <c r="P49" i="1"/>
  <c r="P46" i="1"/>
  <c r="M46" i="1"/>
  <c r="J49" i="1"/>
  <c r="J46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5" i="1"/>
  <c r="S36" i="1"/>
  <c r="S37" i="1"/>
  <c r="S38" i="1"/>
  <c r="S39" i="1"/>
  <c r="S49" i="1" s="1"/>
  <c r="S40" i="1"/>
  <c r="S41" i="1"/>
  <c r="S11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5" i="1"/>
  <c r="P36" i="1"/>
  <c r="P37" i="1"/>
  <c r="P38" i="1"/>
  <c r="P39" i="1"/>
  <c r="P40" i="1"/>
  <c r="P41" i="1"/>
  <c r="P12" i="1"/>
  <c r="P13" i="1"/>
  <c r="P14" i="1"/>
  <c r="P15" i="1"/>
  <c r="P16" i="1"/>
  <c r="P11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5" i="1"/>
  <c r="M36" i="1"/>
  <c r="M37" i="1"/>
  <c r="M38" i="1"/>
  <c r="M39" i="1"/>
  <c r="M40" i="1"/>
  <c r="M41" i="1"/>
  <c r="M16" i="1"/>
  <c r="M17" i="1"/>
  <c r="M18" i="1"/>
  <c r="M19" i="1"/>
  <c r="M12" i="1"/>
  <c r="M13" i="1"/>
  <c r="M14" i="1"/>
  <c r="M15" i="1"/>
  <c r="M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5" i="1"/>
  <c r="J36" i="1"/>
  <c r="J37" i="1"/>
  <c r="J38" i="1"/>
  <c r="J39" i="1"/>
  <c r="J40" i="1"/>
  <c r="J41" i="1"/>
  <c r="J11" i="1"/>
  <c r="I51" i="1"/>
  <c r="I52" i="1" s="1"/>
  <c r="I49" i="1"/>
  <c r="J50" i="1" s="1"/>
  <c r="K49" i="1"/>
  <c r="N49" i="1"/>
  <c r="Q49" i="1"/>
  <c r="T49" i="1"/>
  <c r="F50" i="1"/>
  <c r="F46" i="1"/>
  <c r="H8" i="5" l="1"/>
  <c r="H47" i="5" s="1"/>
  <c r="J47" i="5"/>
  <c r="O5" i="5"/>
  <c r="O6" i="6"/>
  <c r="O43" i="6" s="1"/>
  <c r="O6" i="7"/>
  <c r="U5" i="5"/>
  <c r="U6" i="6"/>
  <c r="U43" i="6" s="1"/>
  <c r="U6" i="7"/>
  <c r="R6" i="7"/>
  <c r="R5" i="5"/>
  <c r="R6" i="6"/>
  <c r="R43" i="6" s="1"/>
  <c r="H54" i="1"/>
  <c r="J6" i="6"/>
  <c r="J5" i="5"/>
  <c r="H5" i="5" s="1"/>
  <c r="J6" i="7"/>
  <c r="H6" i="7" s="1"/>
  <c r="F51" i="1"/>
  <c r="F52" i="1" s="1"/>
  <c r="G26" i="7"/>
  <c r="G25" i="5"/>
  <c r="G17" i="6"/>
  <c r="G49" i="6" s="1"/>
  <c r="H46" i="1"/>
  <c r="F55" i="1"/>
  <c r="H50" i="1"/>
  <c r="M50" i="1"/>
  <c r="P50" i="1"/>
  <c r="P51" i="1"/>
  <c r="M64" i="1"/>
  <c r="J64" i="1"/>
  <c r="S64" i="1"/>
  <c r="P64" i="1"/>
  <c r="J51" i="1"/>
  <c r="S51" i="1"/>
  <c r="M49" i="1"/>
  <c r="J52" i="1"/>
  <c r="M52" i="1"/>
  <c r="S52" i="1"/>
  <c r="P52" i="1"/>
  <c r="M51" i="1"/>
  <c r="S50" i="1"/>
  <c r="S46" i="1"/>
  <c r="G40" i="1"/>
  <c r="O40" i="1" s="1"/>
  <c r="G36" i="1"/>
  <c r="O36" i="1"/>
  <c r="G39" i="1"/>
  <c r="U39" i="1"/>
  <c r="U49" i="1" s="1"/>
  <c r="G7" i="7" l="1"/>
  <c r="G6" i="5"/>
  <c r="G45" i="5" s="1"/>
  <c r="G7" i="6"/>
  <c r="F6" i="5"/>
  <c r="F45" i="5" s="1"/>
  <c r="F7" i="7"/>
  <c r="F7" i="6"/>
  <c r="J43" i="6"/>
  <c r="H43" i="6" s="1"/>
  <c r="H6" i="6"/>
  <c r="G24" i="7"/>
  <c r="G50" i="7" s="1"/>
  <c r="G23" i="5"/>
  <c r="G52" i="5" s="1"/>
  <c r="G19" i="6"/>
  <c r="J17" i="6"/>
  <c r="H17" i="6" s="1"/>
  <c r="J26" i="7"/>
  <c r="H26" i="7" s="1"/>
  <c r="J25" i="5"/>
  <c r="F47" i="1"/>
  <c r="F56" i="1"/>
  <c r="H55" i="1"/>
  <c r="H52" i="1"/>
  <c r="H51" i="1"/>
  <c r="L40" i="1"/>
  <c r="U40" i="1"/>
  <c r="R40" i="1"/>
  <c r="U36" i="1"/>
  <c r="L36" i="1"/>
  <c r="R36" i="1"/>
  <c r="R39" i="1"/>
  <c r="R49" i="1" s="1"/>
  <c r="O39" i="1"/>
  <c r="O49" i="1" s="1"/>
  <c r="L39" i="1"/>
  <c r="L49" i="1" s="1"/>
  <c r="G42" i="7" l="1"/>
  <c r="G43" i="5"/>
  <c r="G44" i="8"/>
  <c r="G41" i="6"/>
  <c r="G5" i="7"/>
  <c r="G45" i="7"/>
  <c r="G44" i="7"/>
  <c r="G43" i="6"/>
  <c r="G45" i="6"/>
  <c r="J6" i="5"/>
  <c r="J7" i="6"/>
  <c r="J7" i="7"/>
  <c r="F44" i="6"/>
  <c r="F45" i="6"/>
  <c r="E57" i="1"/>
  <c r="E58" i="1" s="1"/>
  <c r="E62" i="1" s="1"/>
  <c r="E61" i="1"/>
  <c r="F42" i="7"/>
  <c r="F43" i="5"/>
  <c r="F44" i="8"/>
  <c r="F41" i="6"/>
  <c r="F5" i="7"/>
  <c r="F45" i="7"/>
  <c r="H47" i="1"/>
  <c r="G41" i="7"/>
  <c r="G40" i="6"/>
  <c r="G42" i="5"/>
  <c r="G43" i="8"/>
  <c r="J41" i="7"/>
  <c r="H41" i="7" s="1"/>
  <c r="J43" i="8"/>
  <c r="H43" i="8" s="1"/>
  <c r="J40" i="6"/>
  <c r="H40" i="6" s="1"/>
  <c r="J42" i="5"/>
  <c r="H42" i="5" s="1"/>
  <c r="G49" i="8"/>
  <c r="G51" i="5"/>
  <c r="G49" i="7"/>
  <c r="G48" i="6"/>
  <c r="H25" i="5"/>
  <c r="J24" i="7"/>
  <c r="J23" i="5"/>
  <c r="J52" i="5" s="1"/>
  <c r="H52" i="5" s="1"/>
  <c r="J19" i="6"/>
  <c r="H19" i="6" s="1"/>
  <c r="F57" i="1"/>
  <c r="H56" i="1"/>
  <c r="F61" i="1"/>
  <c r="F62" i="1" s="1"/>
  <c r="D25" i="2"/>
  <c r="E25" i="2"/>
  <c r="G37" i="1"/>
  <c r="G38" i="1"/>
  <c r="G33" i="1"/>
  <c r="G32" i="1"/>
  <c r="G31" i="1"/>
  <c r="G53" i="1" s="1"/>
  <c r="G30" i="1"/>
  <c r="G29" i="1"/>
  <c r="G28" i="1"/>
  <c r="G27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B26" i="1"/>
  <c r="B27" i="1"/>
  <c r="B25" i="1"/>
  <c r="B24" i="1"/>
  <c r="B20" i="1"/>
  <c r="B21" i="1"/>
  <c r="B14" i="1"/>
  <c r="B15" i="1"/>
  <c r="B16" i="1"/>
  <c r="B17" i="1"/>
  <c r="B18" i="1"/>
  <c r="B19" i="1"/>
  <c r="G13" i="1"/>
  <c r="R13" i="1" s="1"/>
  <c r="B13" i="1"/>
  <c r="G10" i="7" l="1"/>
  <c r="G47" i="7" s="1"/>
  <c r="G9" i="5"/>
  <c r="G9" i="6"/>
  <c r="F58" i="1"/>
  <c r="H7" i="7"/>
  <c r="H5" i="7" s="1"/>
  <c r="J5" i="7"/>
  <c r="J45" i="7"/>
  <c r="H45" i="7" s="1"/>
  <c r="J44" i="7"/>
  <c r="H44" i="7" s="1"/>
  <c r="J44" i="8"/>
  <c r="H44" i="8" s="1"/>
  <c r="J41" i="6"/>
  <c r="H41" i="6" s="1"/>
  <c r="J43" i="5"/>
  <c r="H43" i="5" s="1"/>
  <c r="J42" i="7"/>
  <c r="H42" i="7" s="1"/>
  <c r="F10" i="7"/>
  <c r="F47" i="7" s="1"/>
  <c r="F9" i="5"/>
  <c r="F9" i="6"/>
  <c r="H7" i="6"/>
  <c r="J44" i="6"/>
  <c r="H44" i="6" s="1"/>
  <c r="J45" i="6"/>
  <c r="H45" i="6" s="1"/>
  <c r="J45" i="5"/>
  <c r="H45" i="5" s="1"/>
  <c r="H6" i="5"/>
  <c r="J51" i="5"/>
  <c r="H51" i="5" s="1"/>
  <c r="J48" i="6"/>
  <c r="H48" i="6" s="1"/>
  <c r="H23" i="5"/>
  <c r="J49" i="8"/>
  <c r="H49" i="8" s="1"/>
  <c r="J49" i="7"/>
  <c r="H49" i="7" s="1"/>
  <c r="H24" i="7"/>
  <c r="J50" i="7"/>
  <c r="H50" i="7" s="1"/>
  <c r="F63" i="1"/>
  <c r="F64" i="1" s="1"/>
  <c r="H57" i="1"/>
  <c r="G60" i="1"/>
  <c r="R60" i="1" s="1"/>
  <c r="G35" i="1"/>
  <c r="L35" i="1" s="1"/>
  <c r="E63" i="1"/>
  <c r="G41" i="1"/>
  <c r="O13" i="1"/>
  <c r="L13" i="1"/>
  <c r="R37" i="1"/>
  <c r="L37" i="1"/>
  <c r="U37" i="1"/>
  <c r="O37" i="1"/>
  <c r="O30" i="1"/>
  <c r="U30" i="1"/>
  <c r="R30" i="1"/>
  <c r="L30" i="1"/>
  <c r="L24" i="1"/>
  <c r="U24" i="1"/>
  <c r="O24" i="1"/>
  <c r="R24" i="1"/>
  <c r="U23" i="1"/>
  <c r="O23" i="1"/>
  <c r="L23" i="1"/>
  <c r="R23" i="1"/>
  <c r="L15" i="1"/>
  <c r="O15" i="1"/>
  <c r="R15" i="1"/>
  <c r="U15" i="1"/>
  <c r="G50" i="1"/>
  <c r="R33" i="1"/>
  <c r="U33" i="1"/>
  <c r="O33" i="1"/>
  <c r="L33" i="1"/>
  <c r="O22" i="1"/>
  <c r="R22" i="1"/>
  <c r="L22" i="1"/>
  <c r="U22" i="1"/>
  <c r="R14" i="1"/>
  <c r="L14" i="1"/>
  <c r="O14" i="1"/>
  <c r="U14" i="1"/>
  <c r="L21" i="1"/>
  <c r="O21" i="1"/>
  <c r="R21" i="1"/>
  <c r="U21" i="1"/>
  <c r="O27" i="1"/>
  <c r="L27" i="1"/>
  <c r="U27" i="1"/>
  <c r="R27" i="1"/>
  <c r="U35" i="1"/>
  <c r="R20" i="1"/>
  <c r="L20" i="1"/>
  <c r="O20" i="1"/>
  <c r="U20" i="1"/>
  <c r="R28" i="1"/>
  <c r="O28" i="1"/>
  <c r="L28" i="1"/>
  <c r="U28" i="1"/>
  <c r="U38" i="1"/>
  <c r="L38" i="1"/>
  <c r="O38" i="1"/>
  <c r="R38" i="1"/>
  <c r="U29" i="1"/>
  <c r="R29" i="1"/>
  <c r="O29" i="1"/>
  <c r="L29" i="1"/>
  <c r="L26" i="1"/>
  <c r="U26" i="1"/>
  <c r="R26" i="1"/>
  <c r="O26" i="1"/>
  <c r="R25" i="1"/>
  <c r="U25" i="1"/>
  <c r="L25" i="1"/>
  <c r="O25" i="1"/>
  <c r="R17" i="1"/>
  <c r="U17" i="1"/>
  <c r="L17" i="1"/>
  <c r="O17" i="1"/>
  <c r="L31" i="1"/>
  <c r="R31" i="1"/>
  <c r="O31" i="1"/>
  <c r="U31" i="1"/>
  <c r="W33" i="5" s="1"/>
  <c r="L19" i="1"/>
  <c r="O19" i="1"/>
  <c r="U19" i="1"/>
  <c r="R19" i="1"/>
  <c r="U18" i="1"/>
  <c r="O18" i="1"/>
  <c r="L18" i="1"/>
  <c r="R18" i="1"/>
  <c r="L16" i="1"/>
  <c r="U16" i="1"/>
  <c r="R16" i="1"/>
  <c r="O16" i="1"/>
  <c r="L32" i="1"/>
  <c r="O32" i="1"/>
  <c r="R32" i="1"/>
  <c r="U32" i="1"/>
  <c r="U13" i="1"/>
  <c r="G8" i="7" l="1"/>
  <c r="G10" i="6"/>
  <c r="G44" i="6" s="1"/>
  <c r="G7" i="5"/>
  <c r="G46" i="5" s="1"/>
  <c r="H58" i="1"/>
  <c r="J9" i="6"/>
  <c r="H9" i="6" s="1"/>
  <c r="J10" i="7"/>
  <c r="J9" i="5"/>
  <c r="H9" i="5" s="1"/>
  <c r="I6" i="7"/>
  <c r="I5" i="5"/>
  <c r="I6" i="6"/>
  <c r="H62" i="1"/>
  <c r="F10" i="6"/>
  <c r="F7" i="5"/>
  <c r="F46" i="5" s="1"/>
  <c r="F8" i="7"/>
  <c r="F44" i="7" s="1"/>
  <c r="I17" i="6"/>
  <c r="I49" i="6" s="1"/>
  <c r="I25" i="5"/>
  <c r="I26" i="7"/>
  <c r="R35" i="1"/>
  <c r="O35" i="1"/>
  <c r="H63" i="1"/>
  <c r="H61" i="1"/>
  <c r="U60" i="1"/>
  <c r="L60" i="1"/>
  <c r="O60" i="1"/>
  <c r="E64" i="1"/>
  <c r="H64" i="1" s="1"/>
  <c r="E65" i="1"/>
  <c r="U59" i="1"/>
  <c r="L59" i="1"/>
  <c r="O59" i="1"/>
  <c r="R59" i="1"/>
  <c r="U41" i="1"/>
  <c r="R41" i="1"/>
  <c r="L41" i="1"/>
  <c r="O41" i="1"/>
  <c r="G54" i="1"/>
  <c r="L53" i="1"/>
  <c r="O53" i="1"/>
  <c r="R53" i="1"/>
  <c r="U53" i="1"/>
  <c r="G51" i="1"/>
  <c r="R50" i="1"/>
  <c r="O50" i="1"/>
  <c r="L50" i="1"/>
  <c r="U50" i="1"/>
  <c r="G12" i="1"/>
  <c r="G46" i="1" s="1"/>
  <c r="G47" i="1" s="1"/>
  <c r="K13" i="2"/>
  <c r="K12" i="2"/>
  <c r="C5" i="2"/>
  <c r="H3" i="2"/>
  <c r="G3" i="2"/>
  <c r="E33" i="2"/>
  <c r="T8" i="6" l="1"/>
  <c r="T9" i="7"/>
  <c r="T8" i="5"/>
  <c r="T47" i="5" s="1"/>
  <c r="W8" i="5"/>
  <c r="W47" i="5" s="1"/>
  <c r="W9" i="7"/>
  <c r="W8" i="6"/>
  <c r="Q8" i="5"/>
  <c r="Q47" i="5" s="1"/>
  <c r="Q9" i="7"/>
  <c r="Q8" i="6"/>
  <c r="N8" i="5"/>
  <c r="N47" i="5" s="1"/>
  <c r="N9" i="7"/>
  <c r="N8" i="6"/>
  <c r="Q6" i="6"/>
  <c r="Q6" i="7"/>
  <c r="Q5" i="5"/>
  <c r="H10" i="7"/>
  <c r="J47" i="7"/>
  <c r="H47" i="7" s="1"/>
  <c r="W6" i="7"/>
  <c r="W5" i="5"/>
  <c r="W6" i="6"/>
  <c r="N5" i="5"/>
  <c r="N6" i="7"/>
  <c r="N6" i="6"/>
  <c r="N43" i="6" s="1"/>
  <c r="T6" i="7"/>
  <c r="T5" i="5"/>
  <c r="T6" i="6"/>
  <c r="T43" i="6" s="1"/>
  <c r="J7" i="5"/>
  <c r="J8" i="7"/>
  <c r="H8" i="7" s="1"/>
  <c r="J10" i="6"/>
  <c r="H10" i="6" s="1"/>
  <c r="I43" i="8"/>
  <c r="I41" i="7"/>
  <c r="I40" i="6"/>
  <c r="I42" i="5"/>
  <c r="W17" i="6"/>
  <c r="W49" i="6" s="1"/>
  <c r="W26" i="7"/>
  <c r="W25" i="5"/>
  <c r="N26" i="7"/>
  <c r="N17" i="6"/>
  <c r="N25" i="5"/>
  <c r="Q17" i="6"/>
  <c r="Q49" i="6" s="1"/>
  <c r="Q25" i="5"/>
  <c r="Q26" i="7"/>
  <c r="T26" i="7"/>
  <c r="T17" i="6"/>
  <c r="T25" i="5"/>
  <c r="O46" i="1"/>
  <c r="L46" i="1"/>
  <c r="U46" i="1"/>
  <c r="R46" i="1"/>
  <c r="G55" i="1"/>
  <c r="L54" i="1"/>
  <c r="L55" i="1" s="1"/>
  <c r="O54" i="1"/>
  <c r="O55" i="1" s="1"/>
  <c r="R54" i="1"/>
  <c r="R55" i="1" s="1"/>
  <c r="U54" i="1"/>
  <c r="U55" i="1" s="1"/>
  <c r="G52" i="1"/>
  <c r="R51" i="1"/>
  <c r="L51" i="1"/>
  <c r="U51" i="1"/>
  <c r="O51" i="1"/>
  <c r="R48" i="1"/>
  <c r="R47" i="1" s="1"/>
  <c r="O48" i="1"/>
  <c r="O47" i="1" s="1"/>
  <c r="U48" i="1"/>
  <c r="U47" i="1" s="1"/>
  <c r="L48" i="1"/>
  <c r="L47" i="1" s="1"/>
  <c r="O12" i="1"/>
  <c r="U12" i="1"/>
  <c r="L12" i="1"/>
  <c r="R12" i="1"/>
  <c r="E32" i="2"/>
  <c r="E31" i="2"/>
  <c r="E30" i="2"/>
  <c r="E29" i="2"/>
  <c r="G11" i="1"/>
  <c r="R11" i="1" s="1"/>
  <c r="E28" i="2"/>
  <c r="F26" i="2"/>
  <c r="D26" i="2"/>
  <c r="E26" i="2" s="1"/>
  <c r="B26" i="2"/>
  <c r="D24" i="2"/>
  <c r="E24" i="2"/>
  <c r="B24" i="2"/>
  <c r="F23" i="2"/>
  <c r="D23" i="2"/>
  <c r="E23" i="2" s="1"/>
  <c r="D22" i="2"/>
  <c r="E22" i="2" s="1"/>
  <c r="D21" i="2"/>
  <c r="E21" i="2"/>
  <c r="D20" i="2"/>
  <c r="E20" i="2"/>
  <c r="D19" i="2"/>
  <c r="E19" i="2" s="1"/>
  <c r="D18" i="2"/>
  <c r="E18" i="2" s="1"/>
  <c r="D17" i="2"/>
  <c r="E17" i="2" s="1"/>
  <c r="D16" i="2"/>
  <c r="E16" i="2" s="1"/>
  <c r="D15" i="2"/>
  <c r="E15" i="2" s="1"/>
  <c r="D14" i="2"/>
  <c r="E14" i="2" s="1"/>
  <c r="D13" i="2"/>
  <c r="E13" i="2" s="1"/>
  <c r="F12" i="2"/>
  <c r="D12" i="2"/>
  <c r="E12" i="2"/>
  <c r="D11" i="2"/>
  <c r="E11" i="2" s="1"/>
  <c r="F10" i="2"/>
  <c r="D10" i="2"/>
  <c r="E10" i="2" s="1"/>
  <c r="C10" i="2"/>
  <c r="D9" i="2"/>
  <c r="E9" i="2"/>
  <c r="C8" i="2"/>
  <c r="D8" i="2"/>
  <c r="E8" i="2" s="1"/>
  <c r="D7" i="2"/>
  <c r="E7" i="2" s="1"/>
  <c r="D6" i="2"/>
  <c r="E6" i="2" s="1"/>
  <c r="D5" i="2"/>
  <c r="E5" i="2" s="1"/>
  <c r="D4" i="2"/>
  <c r="E4" i="2" s="1"/>
  <c r="D3" i="2"/>
  <c r="E3" i="2" s="1"/>
  <c r="J46" i="5" l="1"/>
  <c r="H46" i="5" s="1"/>
  <c r="H7" i="5"/>
  <c r="Q7" i="6"/>
  <c r="Q7" i="7"/>
  <c r="Q6" i="5"/>
  <c r="Q45" i="5" s="1"/>
  <c r="N7" i="6"/>
  <c r="N7" i="7"/>
  <c r="N6" i="5"/>
  <c r="N45" i="5" s="1"/>
  <c r="G56" i="1"/>
  <c r="L56" i="1" s="1"/>
  <c r="I7" i="7"/>
  <c r="I6" i="5"/>
  <c r="I45" i="5" s="1"/>
  <c r="I7" i="6"/>
  <c r="W6" i="5"/>
  <c r="W45" i="5" s="1"/>
  <c r="W7" i="7"/>
  <c r="W7" i="6"/>
  <c r="T6" i="5"/>
  <c r="T45" i="5" s="1"/>
  <c r="T7" i="7"/>
  <c r="T7" i="6"/>
  <c r="Q40" i="6"/>
  <c r="Q43" i="8"/>
  <c r="Q42" i="5"/>
  <c r="Q41" i="7"/>
  <c r="T43" i="8"/>
  <c r="T42" i="5"/>
  <c r="T41" i="7"/>
  <c r="T40" i="6"/>
  <c r="N41" i="7"/>
  <c r="N40" i="6"/>
  <c r="N42" i="5"/>
  <c r="N43" i="8"/>
  <c r="W41" i="7"/>
  <c r="W40" i="6"/>
  <c r="W42" i="5"/>
  <c r="W43" i="8"/>
  <c r="I23" i="5"/>
  <c r="I52" i="5" s="1"/>
  <c r="I19" i="6"/>
  <c r="I24" i="7"/>
  <c r="I50" i="7" s="1"/>
  <c r="G57" i="1"/>
  <c r="G61" i="1"/>
  <c r="U56" i="1"/>
  <c r="R56" i="1"/>
  <c r="O56" i="1"/>
  <c r="R52" i="1"/>
  <c r="O52" i="1"/>
  <c r="L52" i="1"/>
  <c r="U52" i="1"/>
  <c r="O11" i="1"/>
  <c r="L11" i="1"/>
  <c r="U11" i="1"/>
  <c r="N41" i="6" l="1"/>
  <c r="N43" i="5"/>
  <c r="N44" i="8"/>
  <c r="N42" i="7"/>
  <c r="I10" i="7"/>
  <c r="I9" i="5"/>
  <c r="I9" i="6"/>
  <c r="N44" i="6"/>
  <c r="N45" i="6"/>
  <c r="I43" i="6"/>
  <c r="I45" i="6"/>
  <c r="Q45" i="7"/>
  <c r="Q5" i="7"/>
  <c r="Q44" i="7"/>
  <c r="Q43" i="5"/>
  <c r="Q44" i="8"/>
  <c r="Q42" i="7"/>
  <c r="Q41" i="6"/>
  <c r="Q43" i="6"/>
  <c r="Q45" i="6"/>
  <c r="N5" i="7"/>
  <c r="N45" i="7"/>
  <c r="T43" i="5"/>
  <c r="T42" i="7"/>
  <c r="T41" i="6"/>
  <c r="T44" i="8"/>
  <c r="T44" i="6"/>
  <c r="T45" i="6"/>
  <c r="I5" i="7"/>
  <c r="I45" i="7"/>
  <c r="I44" i="7"/>
  <c r="W43" i="6"/>
  <c r="W45" i="6"/>
  <c r="W5" i="7"/>
  <c r="W44" i="7"/>
  <c r="W45" i="7"/>
  <c r="W44" i="8"/>
  <c r="W42" i="7"/>
  <c r="W43" i="5"/>
  <c r="W41" i="6"/>
  <c r="T5" i="7"/>
  <c r="T45" i="7"/>
  <c r="I41" i="6"/>
  <c r="I42" i="7"/>
  <c r="I43" i="5"/>
  <c r="I44" i="8"/>
  <c r="W24" i="7"/>
  <c r="W50" i="7" s="1"/>
  <c r="W23" i="5"/>
  <c r="W52" i="5" s="1"/>
  <c r="W19" i="6"/>
  <c r="T24" i="7"/>
  <c r="T50" i="7" s="1"/>
  <c r="T23" i="5"/>
  <c r="T52" i="5" s="1"/>
  <c r="T19" i="6"/>
  <c r="Q23" i="5"/>
  <c r="Q52" i="5" s="1"/>
  <c r="Q24" i="7"/>
  <c r="Q50" i="7" s="1"/>
  <c r="Q19" i="6"/>
  <c r="N24" i="7"/>
  <c r="N50" i="7" s="1"/>
  <c r="N19" i="6"/>
  <c r="N23" i="5"/>
  <c r="N52" i="5" s="1"/>
  <c r="I51" i="5"/>
  <c r="I48" i="6"/>
  <c r="I49" i="8"/>
  <c r="I49" i="7"/>
  <c r="G63" i="1"/>
  <c r="G64" i="1" s="1"/>
  <c r="U64" i="1" s="1"/>
  <c r="G58" i="1"/>
  <c r="L57" i="1"/>
  <c r="O57" i="1"/>
  <c r="R57" i="1"/>
  <c r="U57" i="1"/>
  <c r="U61" i="1"/>
  <c r="L61" i="1"/>
  <c r="O61" i="1"/>
  <c r="R61" i="1"/>
  <c r="G62" i="1"/>
  <c r="T10" i="7" l="1"/>
  <c r="T47" i="7" s="1"/>
  <c r="T9" i="6"/>
  <c r="T9" i="5"/>
  <c r="I7" i="5"/>
  <c r="I46" i="5" s="1"/>
  <c r="I8" i="7"/>
  <c r="I47" i="7" s="1"/>
  <c r="I10" i="6"/>
  <c r="I44" i="6" s="1"/>
  <c r="W9" i="6"/>
  <c r="W9" i="5"/>
  <c r="W10" i="7"/>
  <c r="W47" i="7" s="1"/>
  <c r="Q9" i="5"/>
  <c r="Q9" i="6"/>
  <c r="Q10" i="7"/>
  <c r="N9" i="6"/>
  <c r="N9" i="5"/>
  <c r="N10" i="7"/>
  <c r="N47" i="7" s="1"/>
  <c r="Q51" i="5"/>
  <c r="Q49" i="8"/>
  <c r="Q49" i="7"/>
  <c r="Q48" i="6"/>
  <c r="T51" i="5"/>
  <c r="T49" i="7"/>
  <c r="T49" i="8"/>
  <c r="T48" i="6"/>
  <c r="N51" i="5"/>
  <c r="N49" i="7"/>
  <c r="N48" i="6"/>
  <c r="N49" i="8"/>
  <c r="W51" i="5"/>
  <c r="W48" i="6"/>
  <c r="W49" i="8"/>
  <c r="W49" i="7"/>
  <c r="U58" i="1"/>
  <c r="R58" i="1"/>
  <c r="L58" i="1"/>
  <c r="O58" i="1"/>
  <c r="R64" i="1"/>
  <c r="L64" i="1"/>
  <c r="O64" i="1"/>
  <c r="Q7" i="5" l="1"/>
  <c r="Q46" i="5" s="1"/>
  <c r="Q10" i="6"/>
  <c r="Q44" i="6" s="1"/>
  <c r="Q8" i="7"/>
  <c r="Q47" i="7" s="1"/>
  <c r="W8" i="7"/>
  <c r="W7" i="5"/>
  <c r="W46" i="5" s="1"/>
  <c r="W10" i="6"/>
  <c r="W44" i="6" s="1"/>
  <c r="N7" i="5"/>
  <c r="N46" i="5" s="1"/>
  <c r="N8" i="7"/>
  <c r="N44" i="7" s="1"/>
  <c r="N10" i="6"/>
  <c r="T8" i="7"/>
  <c r="T44" i="7" s="1"/>
  <c r="T10" i="6"/>
  <c r="T7" i="5"/>
  <c r="T46" i="5" s="1"/>
</calcChain>
</file>

<file path=xl/sharedStrings.xml><?xml version="1.0" encoding="utf-8"?>
<sst xmlns="http://schemas.openxmlformats.org/spreadsheetml/2006/main" count="857" uniqueCount="146">
  <si>
    <t>CULVERT NO</t>
  </si>
  <si>
    <t>50-Y discharge calculation</t>
  </si>
  <si>
    <t>T</t>
  </si>
  <si>
    <t>I</t>
  </si>
  <si>
    <t>Cf</t>
  </si>
  <si>
    <t>Q</t>
  </si>
  <si>
    <t>100-Y discharge calculation</t>
  </si>
  <si>
    <t>A*C</t>
  </si>
  <si>
    <t>length</t>
  </si>
  <si>
    <t>wide</t>
  </si>
  <si>
    <t>area sq</t>
  </si>
  <si>
    <t>ac</t>
  </si>
  <si>
    <t>paved area</t>
  </si>
  <si>
    <t>total AREA (acre)</t>
  </si>
  <si>
    <t>median</t>
  </si>
  <si>
    <t>10-Y discharge calculation</t>
  </si>
  <si>
    <t>25-Y discharge calculation</t>
  </si>
  <si>
    <t>a</t>
  </si>
  <si>
    <t>b</t>
  </si>
  <si>
    <t>c</t>
  </si>
  <si>
    <t>2-Year</t>
  </si>
  <si>
    <t>5-Year</t>
  </si>
  <si>
    <t>10-Year</t>
  </si>
  <si>
    <t>25-Year</t>
  </si>
  <si>
    <t>50-Year</t>
  </si>
  <si>
    <t>100-Year</t>
  </si>
  <si>
    <t>frequency</t>
  </si>
  <si>
    <t>from</t>
  </si>
  <si>
    <t>to</t>
  </si>
  <si>
    <t>location</t>
  </si>
  <si>
    <t>ramp 3.4.1</t>
  </si>
  <si>
    <t>ramp 1.4.i26</t>
  </si>
  <si>
    <t>ramp 1.4</t>
  </si>
  <si>
    <t>ramp 1.4.2</t>
  </si>
  <si>
    <t>ramp 1 . I26</t>
  </si>
  <si>
    <t>ramp 4.i26</t>
  </si>
  <si>
    <t>ramp3</t>
  </si>
  <si>
    <t>outside</t>
  </si>
  <si>
    <t>ramp 2</t>
  </si>
  <si>
    <t>wb</t>
  </si>
  <si>
    <t>eb</t>
  </si>
  <si>
    <t>ramp 4</t>
  </si>
  <si>
    <t>to eb</t>
  </si>
  <si>
    <t>inside</t>
  </si>
  <si>
    <t>offsite</t>
  </si>
  <si>
    <t>ramp1</t>
  </si>
  <si>
    <t>median lt wb</t>
  </si>
  <si>
    <t>median rt eb</t>
  </si>
  <si>
    <t>ditch calculation</t>
  </si>
  <si>
    <t>EB</t>
  </si>
  <si>
    <t>RT</t>
  </si>
  <si>
    <t>RAMP 1</t>
  </si>
  <si>
    <t>110+00</t>
  </si>
  <si>
    <t>667+00</t>
  </si>
  <si>
    <t>DITCH</t>
  </si>
  <si>
    <t>CULVERT</t>
  </si>
  <si>
    <t>RAMP 4</t>
  </si>
  <si>
    <t>443+00</t>
  </si>
  <si>
    <t>DITCH AND CULVERT</t>
  </si>
  <si>
    <t>431+75</t>
  </si>
  <si>
    <t>XS</t>
  </si>
  <si>
    <t>24"</t>
  </si>
  <si>
    <t>CULVERT SIZE</t>
  </si>
  <si>
    <t>FLOW DEPTH</t>
  </si>
  <si>
    <t>25-Y</t>
  </si>
  <si>
    <t>50-Y</t>
  </si>
  <si>
    <t>100-Y</t>
  </si>
  <si>
    <t>RAMP1</t>
  </si>
  <si>
    <t xml:space="preserve">RAMP 1 </t>
  </si>
  <si>
    <t>LT</t>
  </si>
  <si>
    <t xml:space="preserve">CULVERT </t>
  </si>
  <si>
    <t>RAMP2</t>
  </si>
  <si>
    <t>216+00</t>
  </si>
  <si>
    <t>219+00</t>
  </si>
  <si>
    <t>DITH</t>
  </si>
  <si>
    <t>421+50</t>
  </si>
  <si>
    <t>RAMP 3</t>
  </si>
  <si>
    <t>WB</t>
  </si>
  <si>
    <t>886+00</t>
  </si>
  <si>
    <t>134+50</t>
  </si>
  <si>
    <t xml:space="preserve">DITCH </t>
  </si>
  <si>
    <t>RATIONAL</t>
  </si>
  <si>
    <t>unimproved</t>
  </si>
  <si>
    <t>312+00</t>
  </si>
  <si>
    <t>ramp 3 4</t>
  </si>
  <si>
    <t>RAMP3</t>
  </si>
  <si>
    <t>RAMP 2</t>
  </si>
  <si>
    <t>depth</t>
  </si>
  <si>
    <t>FR</t>
  </si>
  <si>
    <t>velosity</t>
  </si>
  <si>
    <t>500+72</t>
  </si>
  <si>
    <t>132+48</t>
  </si>
  <si>
    <t>RAMP 2 AND 1</t>
  </si>
  <si>
    <t>219+00/144+79</t>
  </si>
  <si>
    <t>318+38</t>
  </si>
  <si>
    <t>ROADSIDE DRAIN</t>
  </si>
  <si>
    <t>719+74-722+54</t>
  </si>
  <si>
    <t>STA.NO</t>
  </si>
  <si>
    <t>916+73-919+02</t>
  </si>
  <si>
    <t>312+18</t>
  </si>
  <si>
    <t>714+79-716+86</t>
  </si>
  <si>
    <t xml:space="preserve">EB </t>
  </si>
  <si>
    <t>T (min)</t>
  </si>
  <si>
    <t>669+30</t>
  </si>
  <si>
    <t>674+00</t>
  </si>
  <si>
    <t>679+72</t>
  </si>
  <si>
    <t>890+10</t>
  </si>
  <si>
    <t>899+11</t>
  </si>
  <si>
    <t>901+62</t>
  </si>
  <si>
    <t>707+63</t>
  </si>
  <si>
    <t>713+61</t>
  </si>
  <si>
    <t>718+97</t>
  </si>
  <si>
    <t>919+03</t>
  </si>
  <si>
    <t>922+85</t>
  </si>
  <si>
    <t>727+95</t>
  </si>
  <si>
    <t>936+70</t>
  </si>
  <si>
    <t>952+07</t>
  </si>
  <si>
    <t>751+97</t>
  </si>
  <si>
    <t>unimproved area (Acre)</t>
  </si>
  <si>
    <t>paved area (Acre)</t>
  </si>
  <si>
    <t>143+30</t>
  </si>
  <si>
    <t>RAMP4</t>
  </si>
  <si>
    <t>403+04</t>
  </si>
  <si>
    <t>161+50</t>
  </si>
  <si>
    <t>771+50</t>
  </si>
  <si>
    <t>971+50</t>
  </si>
  <si>
    <t>DITCHES</t>
  </si>
  <si>
    <t>716+86</t>
  </si>
  <si>
    <t>722+54</t>
  </si>
  <si>
    <t>TYPE</t>
  </si>
  <si>
    <t>LOCATION</t>
  </si>
  <si>
    <t>SIDE</t>
  </si>
  <si>
    <t>C=0.9</t>
  </si>
  <si>
    <t>C=0.3</t>
  </si>
  <si>
    <t>695+02</t>
  </si>
  <si>
    <t>ROAD DRAINAGE</t>
  </si>
  <si>
    <t>882+00</t>
  </si>
  <si>
    <t>318+50</t>
  </si>
  <si>
    <t>718+99</t>
  </si>
  <si>
    <t>713+63</t>
  </si>
  <si>
    <t>726+96</t>
  </si>
  <si>
    <t>899+12</t>
  </si>
  <si>
    <t>922+82</t>
  </si>
  <si>
    <t>952+06</t>
  </si>
  <si>
    <t>pipe at</t>
  </si>
  <si>
    <t>921+10-921+51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</si>
</sst>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0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2" borderId="0" xfId="0" applyFill="1"/>
    <xf numFmtId="0" fontId="0" fillId="0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2" fontId="0" fillId="0" borderId="0" xfId="0" applyNumberFormat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1" fillId="0" borderId="0" xfId="0" applyFont="1"/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2" fontId="1" fillId="0" borderId="14" xfId="0" applyNumberFormat="1" applyFont="1" applyBorder="1" applyAlignment="1">
      <alignment horizontal="center" vertical="center"/>
    </xf>
    <xf numFmtId="2" fontId="1" fillId="0" borderId="18" xfId="0" applyNumberFormat="1" applyFont="1" applyBorder="1" applyAlignment="1">
      <alignment horizontal="center" vertical="center"/>
    </xf>
    <xf numFmtId="2" fontId="1" fillId="0" borderId="13" xfId="0" applyNumberFormat="1" applyFont="1" applyBorder="1" applyAlignment="1">
      <alignment horizontal="center" vertical="center"/>
    </xf>
    <xf numFmtId="2" fontId="1" fillId="0" borderId="15" xfId="0" applyNumberFormat="1" applyFont="1" applyBorder="1" applyAlignment="1">
      <alignment horizontal="center" vertical="center"/>
    </xf>
    <xf numFmtId="2" fontId="1" fillId="0" borderId="22" xfId="0" applyNumberFormat="1" applyFont="1" applyBorder="1" applyAlignment="1">
      <alignment horizontal="center" vertical="center"/>
    </xf>
    <xf numFmtId="2" fontId="1" fillId="5" borderId="18" xfId="0" applyNumberFormat="1" applyFont="1" applyFill="1" applyBorder="1" applyAlignment="1">
      <alignment horizontal="center" vertical="center"/>
    </xf>
    <xf numFmtId="2" fontId="1" fillId="8" borderId="15" xfId="0" applyNumberFormat="1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" fillId="0" borderId="19" xfId="0" applyNumberFormat="1" applyFont="1" applyBorder="1" applyAlignment="1">
      <alignment horizontal="center" vertical="center"/>
    </xf>
    <xf numFmtId="2" fontId="1" fillId="0" borderId="11" xfId="0" applyNumberFormat="1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2" fontId="1" fillId="0" borderId="23" xfId="0" applyNumberFormat="1" applyFont="1" applyBorder="1" applyAlignment="1">
      <alignment horizontal="center" vertical="center"/>
    </xf>
    <xf numFmtId="2" fontId="1" fillId="5" borderId="19" xfId="0" applyNumberFormat="1" applyFont="1" applyFill="1" applyBorder="1" applyAlignment="1">
      <alignment horizontal="center" vertical="center"/>
    </xf>
    <xf numFmtId="2" fontId="1" fillId="8" borderId="2" xfId="0" applyNumberFormat="1" applyFont="1" applyFill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2" fontId="1" fillId="0" borderId="17" xfId="0" applyNumberFormat="1" applyFont="1" applyBorder="1" applyAlignment="1">
      <alignment horizontal="center" vertical="center"/>
    </xf>
    <xf numFmtId="2" fontId="1" fillId="0" borderId="12" xfId="0" applyNumberFormat="1" applyFont="1" applyBorder="1" applyAlignment="1">
      <alignment horizontal="center" vertical="center"/>
    </xf>
    <xf numFmtId="2" fontId="1" fillId="0" borderId="4" xfId="0" applyNumberFormat="1" applyFont="1" applyBorder="1" applyAlignment="1">
      <alignment horizontal="center" vertical="center"/>
    </xf>
    <xf numFmtId="2" fontId="1" fillId="0" borderId="21" xfId="0" applyNumberFormat="1" applyFont="1" applyBorder="1" applyAlignment="1">
      <alignment horizontal="center" vertical="center"/>
    </xf>
    <xf numFmtId="2" fontId="1" fillId="5" borderId="17" xfId="0" applyNumberFormat="1" applyFont="1" applyFill="1" applyBorder="1" applyAlignment="1">
      <alignment horizontal="center" vertical="center"/>
    </xf>
    <xf numFmtId="2" fontId="1" fillId="8" borderId="4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1" fillId="5" borderId="14" xfId="0" applyNumberFormat="1" applyFont="1" applyFill="1" applyBorder="1" applyAlignment="1">
      <alignment horizontal="center" vertical="center"/>
    </xf>
    <xf numFmtId="2" fontId="1" fillId="5" borderId="1" xfId="0" applyNumberFormat="1" applyFont="1" applyFill="1" applyBorder="1" applyAlignment="1">
      <alignment horizontal="center" vertical="center"/>
    </xf>
    <xf numFmtId="2" fontId="1" fillId="5" borderId="3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2" fontId="1" fillId="8" borderId="1" xfId="0" applyNumberFormat="1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2" fontId="1" fillId="8" borderId="3" xfId="0" applyNumberFormat="1" applyFont="1" applyFill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9" xfId="0" applyNumberFormat="1" applyFont="1" applyBorder="1" applyAlignment="1">
      <alignment horizontal="center" vertical="center"/>
    </xf>
    <xf numFmtId="2" fontId="1" fillId="0" borderId="9" xfId="0" applyNumberFormat="1" applyFont="1" applyBorder="1" applyAlignment="1">
      <alignment horizontal="center" vertical="center" wrapText="1"/>
    </xf>
    <xf numFmtId="2" fontId="1" fillId="5" borderId="9" xfId="0" applyNumberFormat="1" applyFont="1" applyFill="1" applyBorder="1" applyAlignment="1">
      <alignment horizontal="center" vertical="center"/>
    </xf>
    <xf numFmtId="2" fontId="1" fillId="8" borderId="10" xfId="0" applyNumberFormat="1" applyFont="1" applyFill="1" applyBorder="1" applyAlignment="1">
      <alignment horizontal="center" vertical="center"/>
    </xf>
    <xf numFmtId="2" fontId="1" fillId="0" borderId="29" xfId="0" applyNumberFormat="1" applyFont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2" fontId="1" fillId="8" borderId="9" xfId="0" applyNumberFormat="1" applyFont="1" applyFill="1" applyBorder="1" applyAlignment="1">
      <alignment horizontal="center" vertical="center"/>
    </xf>
    <xf numFmtId="2" fontId="1" fillId="0" borderId="10" xfId="0" applyNumberFormat="1" applyFont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2" fontId="1" fillId="8" borderId="14" xfId="0" applyNumberFormat="1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2" fontId="1" fillId="0" borderId="0" xfId="0" applyNumberFormat="1" applyFont="1"/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2" fontId="1" fillId="9" borderId="2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 vertical="center"/>
    </xf>
    <xf numFmtId="2" fontId="1" fillId="5" borderId="2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W54"/>
  <sheetViews>
    <sheetView tabSelected="1" topLeftCell="A5" workbookViewId="0">
      <selection activeCell="A6" sqref="A6:XFD6"/>
    </sheetView>
  </sheetViews>
  <sheetFormatPr defaultRowHeight="15.75" x14ac:dyDescent="0.25"/>
  <cols>
    <col min="1" max="1" width="9.140625" style="20"/>
    <col min="2" max="2" width="17.85546875" style="20" customWidth="1"/>
    <col min="3" max="3" width="14.85546875" style="20" customWidth="1"/>
    <col min="4" max="4" width="9.140625" style="20"/>
    <col min="5" max="5" width="15.28515625" style="20" customWidth="1"/>
    <col min="6" max="6" width="16.5703125" style="20" customWidth="1"/>
    <col min="7" max="8" width="12.85546875" style="20" customWidth="1"/>
    <col min="9" max="9" width="10.7109375" style="20" bestFit="1" customWidth="1"/>
    <col min="10" max="10" width="13.42578125" style="20" hidden="1" customWidth="1"/>
    <col min="11" max="11" width="11.85546875" style="20" bestFit="1" customWidth="1"/>
    <col min="12" max="13" width="10.7109375" style="20" bestFit="1" customWidth="1"/>
    <col min="14" max="14" width="11.85546875" style="20" bestFit="1" customWidth="1"/>
    <col min="15" max="16" width="10.7109375" style="20" bestFit="1" customWidth="1"/>
    <col min="17" max="17" width="11.85546875" style="20" bestFit="1" customWidth="1"/>
    <col min="18" max="19" width="10.7109375" style="20" bestFit="1" customWidth="1"/>
    <col min="20" max="20" width="11.85546875" style="20" bestFit="1" customWidth="1"/>
    <col min="21" max="22" width="10.7109375" style="20" bestFit="1" customWidth="1"/>
    <col min="23" max="23" width="11.85546875" style="20" bestFit="1" customWidth="1"/>
    <col min="24" max="16384" width="9.140625" style="20"/>
  </cols>
  <sheetData>
    <row r="1" spans="2:23" ht="16.5" thickBot="1" x14ac:dyDescent="0.3"/>
    <row r="2" spans="2:23" x14ac:dyDescent="0.25">
      <c r="B2" s="21"/>
      <c r="C2" s="22"/>
      <c r="D2" s="22"/>
      <c r="E2" s="22"/>
      <c r="F2" s="22"/>
      <c r="G2" s="22" t="s">
        <v>132</v>
      </c>
      <c r="H2" s="22" t="s">
        <v>133</v>
      </c>
      <c r="I2" s="22"/>
      <c r="J2" s="22"/>
      <c r="K2" s="23"/>
      <c r="L2" s="90" t="s">
        <v>15</v>
      </c>
      <c r="M2" s="88"/>
      <c r="N2" s="89"/>
      <c r="O2" s="90" t="s">
        <v>16</v>
      </c>
      <c r="P2" s="88"/>
      <c r="Q2" s="89"/>
      <c r="R2" s="91" t="s">
        <v>1</v>
      </c>
      <c r="S2" s="88"/>
      <c r="T2" s="92"/>
      <c r="U2" s="90" t="s">
        <v>6</v>
      </c>
      <c r="V2" s="88"/>
      <c r="W2" s="89"/>
    </row>
    <row r="3" spans="2:23" ht="32.25" thickBot="1" x14ac:dyDescent="0.3">
      <c r="B3" s="24" t="s">
        <v>129</v>
      </c>
      <c r="C3" s="25" t="s">
        <v>130</v>
      </c>
      <c r="D3" s="25" t="s">
        <v>131</v>
      </c>
      <c r="E3" s="25" t="s">
        <v>97</v>
      </c>
      <c r="F3" s="26" t="s">
        <v>13</v>
      </c>
      <c r="G3" s="26" t="s">
        <v>119</v>
      </c>
      <c r="H3" s="26" t="str">
        <f t="shared" ref="H3:H10" si="0">J3</f>
        <v>unimproved area (Acre)</v>
      </c>
      <c r="I3" s="25" t="s">
        <v>7</v>
      </c>
      <c r="J3" s="26" t="s">
        <v>118</v>
      </c>
      <c r="K3" s="27" t="s">
        <v>102</v>
      </c>
      <c r="L3" s="24" t="s">
        <v>3</v>
      </c>
      <c r="M3" s="25" t="s">
        <v>4</v>
      </c>
      <c r="N3" s="28" t="s">
        <v>5</v>
      </c>
      <c r="O3" s="24" t="s">
        <v>3</v>
      </c>
      <c r="P3" s="25" t="s">
        <v>4</v>
      </c>
      <c r="Q3" s="28" t="s">
        <v>5</v>
      </c>
      <c r="R3" s="29" t="s">
        <v>3</v>
      </c>
      <c r="S3" s="25" t="s">
        <v>4</v>
      </c>
      <c r="T3" s="27" t="s">
        <v>5</v>
      </c>
      <c r="U3" s="24" t="s">
        <v>3</v>
      </c>
      <c r="V3" s="25" t="s">
        <v>4</v>
      </c>
      <c r="W3" s="28" t="s">
        <v>5</v>
      </c>
    </row>
    <row r="4" spans="2:23" ht="16.5" hidden="1" thickBot="1" x14ac:dyDescent="0.3">
      <c r="B4" s="30" t="s">
        <v>55</v>
      </c>
      <c r="C4" s="31" t="s">
        <v>51</v>
      </c>
      <c r="D4" s="31" t="s">
        <v>60</v>
      </c>
      <c r="E4" s="31" t="s">
        <v>52</v>
      </c>
      <c r="F4" s="32">
        <v>103.43770000000001</v>
      </c>
      <c r="G4" s="32">
        <v>18.040469054178146</v>
      </c>
      <c r="H4" s="66">
        <f t="shared" si="0"/>
        <v>85.39723094582186</v>
      </c>
      <c r="I4" s="32">
        <v>28.812051432506884</v>
      </c>
      <c r="J4" s="32">
        <v>85.39723094582186</v>
      </c>
      <c r="K4" s="33">
        <v>76.61999999999999</v>
      </c>
      <c r="L4" s="34">
        <v>2.4198023658282146</v>
      </c>
      <c r="M4" s="32">
        <v>1</v>
      </c>
      <c r="N4" s="35">
        <v>69.719470220744356</v>
      </c>
      <c r="O4" s="34">
        <v>2.7007605814991353</v>
      </c>
      <c r="P4" s="32">
        <v>1.1000000000000001</v>
      </c>
      <c r="Q4" s="35">
        <v>85.595898059144318</v>
      </c>
      <c r="R4" s="36">
        <v>2.9159959866119505</v>
      </c>
      <c r="S4" s="32">
        <v>1.2</v>
      </c>
      <c r="T4" s="37">
        <v>100.81899161189661</v>
      </c>
      <c r="U4" s="34">
        <v>3.1280094279425281</v>
      </c>
      <c r="V4" s="32">
        <v>1.25</v>
      </c>
      <c r="W4" s="38">
        <v>112.6554606490582</v>
      </c>
    </row>
    <row r="5" spans="2:23" ht="16.5" thickBot="1" x14ac:dyDescent="0.3">
      <c r="B5" s="39" t="str">
        <f>Sheet1!A53</f>
        <v xml:space="preserve">CULVERT </v>
      </c>
      <c r="C5" s="40" t="str">
        <f>Sheet1!B53</f>
        <v>RAMP2</v>
      </c>
      <c r="D5" s="40" t="str">
        <f>Sheet1!C53</f>
        <v>XS</v>
      </c>
      <c r="E5" s="40" t="str">
        <f>Sheet1!D53</f>
        <v>216+00</v>
      </c>
      <c r="F5" s="41">
        <f>Sheet1!E53</f>
        <v>6.9337</v>
      </c>
      <c r="G5" s="41">
        <f>Sheet1!F53</f>
        <v>0.34260000000000002</v>
      </c>
      <c r="H5" s="66">
        <f t="shared" si="0"/>
        <v>6.5911</v>
      </c>
      <c r="I5" s="41">
        <f>Sheet1!G53</f>
        <v>2.2856699999999996</v>
      </c>
      <c r="J5" s="41">
        <f>Sheet1!H53</f>
        <v>6.5911</v>
      </c>
      <c r="K5" s="42">
        <f>Sheet1!I53</f>
        <v>20</v>
      </c>
      <c r="L5" s="43">
        <f>Sheet1!J53</f>
        <v>5.1279883252709775</v>
      </c>
      <c r="M5" s="41">
        <f>Sheet1!K53</f>
        <v>1</v>
      </c>
      <c r="N5" s="44">
        <f>Sheet1!L53</f>
        <v>11.720889075422113</v>
      </c>
      <c r="O5" s="43">
        <f>Sheet1!M53</f>
        <v>5.7793620017604477</v>
      </c>
      <c r="P5" s="41">
        <f>Sheet1!N53</f>
        <v>1.1000000000000001</v>
      </c>
      <c r="Q5" s="44">
        <f>Sheet1!O53</f>
        <v>14.53068578122018</v>
      </c>
      <c r="R5" s="45">
        <f>Sheet1!P53</f>
        <v>6.2855184586943942</v>
      </c>
      <c r="S5" s="41">
        <f>Sheet1!Q53</f>
        <v>1.2</v>
      </c>
      <c r="T5" s="46">
        <f>Sheet1!R53</f>
        <v>17.239945170580814</v>
      </c>
      <c r="U5" s="43">
        <f>Sheet1!S53</f>
        <v>6.8456295772959823</v>
      </c>
      <c r="V5" s="41">
        <f>Sheet1!T53</f>
        <v>1.25</v>
      </c>
      <c r="W5" s="47">
        <f>Sheet1!U53</f>
        <v>19.558562694922632</v>
      </c>
    </row>
    <row r="6" spans="2:23" ht="16.5" thickBot="1" x14ac:dyDescent="0.3">
      <c r="B6" s="39" t="str">
        <f>Sheet1!A55</f>
        <v xml:space="preserve">CULVERT </v>
      </c>
      <c r="C6" s="40" t="s">
        <v>92</v>
      </c>
      <c r="D6" s="40" t="str">
        <f>Sheet1!C55</f>
        <v>XS</v>
      </c>
      <c r="E6" s="40" t="str">
        <f>Sheet1!D55</f>
        <v>219+00/144+79</v>
      </c>
      <c r="F6" s="41">
        <f>Sheet1!E55</f>
        <v>88.078299999999999</v>
      </c>
      <c r="G6" s="41">
        <f>Sheet1!F55</f>
        <v>9.3548451790633607</v>
      </c>
      <c r="H6" s="66">
        <f t="shared" si="0"/>
        <v>78.723454820936638</v>
      </c>
      <c r="I6" s="41">
        <f>Sheet1!G55</f>
        <v>18.701397107438019</v>
      </c>
      <c r="J6" s="41">
        <f>Sheet1!H55</f>
        <v>78.723454820936638</v>
      </c>
      <c r="K6" s="42">
        <f>Sheet1!I55</f>
        <v>82.98</v>
      </c>
      <c r="L6" s="43">
        <f>Sheet1!J55</f>
        <v>2.2839673698071761</v>
      </c>
      <c r="M6" s="41">
        <f>Sheet1!K55</f>
        <v>1</v>
      </c>
      <c r="N6" s="44">
        <f>Sheet1!L55</f>
        <v>42.713380763194742</v>
      </c>
      <c r="O6" s="43">
        <f>Sheet1!M55</f>
        <v>2.5484874286896297</v>
      </c>
      <c r="P6" s="41">
        <f>Sheet1!N55</f>
        <v>1.1000000000000001</v>
      </c>
      <c r="Q6" s="44">
        <f>Sheet1!O55</f>
        <v>52.426302969962244</v>
      </c>
      <c r="R6" s="45">
        <f>Sheet1!P55</f>
        <v>2.7510549820237573</v>
      </c>
      <c r="S6" s="41">
        <f>Sheet1!Q55</f>
        <v>1.2</v>
      </c>
      <c r="T6" s="46">
        <f>Sheet1!R55</f>
        <v>61.738286019866457</v>
      </c>
      <c r="U6" s="43">
        <f>Sheet1!S55</f>
        <v>2.992652446427857</v>
      </c>
      <c r="V6" s="41">
        <f>Sheet1!T55</f>
        <v>1.25</v>
      </c>
      <c r="W6" s="47">
        <f>Sheet1!U55</f>
        <v>69.958477256491548</v>
      </c>
    </row>
    <row r="7" spans="2:23" ht="16.5" thickBot="1" x14ac:dyDescent="0.3">
      <c r="B7" s="39" t="str">
        <f>Sheet1!A58</f>
        <v>CULVERT</v>
      </c>
      <c r="C7" s="40" t="str">
        <f>Sheet1!B58</f>
        <v>RAMP3</v>
      </c>
      <c r="D7" s="40" t="str">
        <f>Sheet1!C58</f>
        <v>XS</v>
      </c>
      <c r="E7" s="40" t="str">
        <f>Sheet1!D58</f>
        <v>312+18</v>
      </c>
      <c r="F7" s="41">
        <f>Sheet1!E58</f>
        <v>96.428299999999993</v>
      </c>
      <c r="G7" s="41">
        <f>Sheet1!F58</f>
        <v>11.581145179063361</v>
      </c>
      <c r="H7" s="66">
        <f t="shared" si="0"/>
        <v>84.847154820936638</v>
      </c>
      <c r="I7" s="41">
        <f>Sheet1!G58</f>
        <v>22.542177107438022</v>
      </c>
      <c r="J7" s="41">
        <f>Sheet1!H58</f>
        <v>84.847154820936638</v>
      </c>
      <c r="K7" s="42">
        <f>Sheet1!I58</f>
        <v>82.98</v>
      </c>
      <c r="L7" s="43">
        <f>Sheet1!J58</f>
        <v>2.2839673698071761</v>
      </c>
      <c r="M7" s="41">
        <f>Sheet1!K58</f>
        <v>1</v>
      </c>
      <c r="N7" s="44">
        <f>Sheet1!L58</f>
        <v>51.485596957802755</v>
      </c>
      <c r="O7" s="43">
        <f>Sheet1!M58</f>
        <v>2.5484874286896297</v>
      </c>
      <c r="P7" s="41">
        <f>Sheet1!N58</f>
        <v>1.1000000000000001</v>
      </c>
      <c r="Q7" s="44">
        <f>Sheet1!O58</f>
        <v>63.193300470961063</v>
      </c>
      <c r="R7" s="45">
        <f>Sheet1!P58</f>
        <v>2.7510549820237573</v>
      </c>
      <c r="S7" s="41">
        <f>Sheet1!Q58</f>
        <v>1.2</v>
      </c>
      <c r="T7" s="46">
        <f>Sheet1!R58</f>
        <v>74.417722364495106</v>
      </c>
      <c r="U7" s="43">
        <f>Sheet1!S58</f>
        <v>2.992652446427857</v>
      </c>
      <c r="V7" s="41">
        <f>Sheet1!T58</f>
        <v>1.25</v>
      </c>
      <c r="W7" s="47">
        <f>Sheet1!U58</f>
        <v>84.326126835480537</v>
      </c>
    </row>
    <row r="8" spans="2:23" ht="16.5" thickBot="1" x14ac:dyDescent="0.3">
      <c r="B8" s="39" t="str">
        <f>Sheet1!A59</f>
        <v>CULVERT</v>
      </c>
      <c r="C8" s="40" t="str">
        <f>Sheet1!B59</f>
        <v>RAMP 3</v>
      </c>
      <c r="D8" s="40" t="str">
        <f>Sheet1!C59</f>
        <v>LT</v>
      </c>
      <c r="E8" s="40" t="str">
        <f>Sheet1!D59</f>
        <v>318+50</v>
      </c>
      <c r="F8" s="41">
        <f>Sheet1!E59</f>
        <v>10.6363</v>
      </c>
      <c r="G8" s="41">
        <f>Sheet1!F59</f>
        <v>3.0524698806244261</v>
      </c>
      <c r="H8" s="66">
        <f t="shared" si="0"/>
        <v>7.5838301193755733</v>
      </c>
      <c r="I8" s="41">
        <f>Sheet1!G59</f>
        <v>5.022371928374656</v>
      </c>
      <c r="J8" s="41">
        <f>Sheet1!H59</f>
        <v>7.5838301193755733</v>
      </c>
      <c r="K8" s="42">
        <f>Sheet1!I59</f>
        <v>16</v>
      </c>
      <c r="L8" s="43">
        <f>Sheet1!J59</f>
        <v>5.5666820761190863</v>
      </c>
      <c r="M8" s="41">
        <f>Sheet1!K59</f>
        <v>1</v>
      </c>
      <c r="N8" s="44">
        <f>Sheet1!L59</f>
        <v>27.957947793286849</v>
      </c>
      <c r="O8" s="43">
        <f>Sheet1!M59</f>
        <v>6.2865573285921874</v>
      </c>
      <c r="P8" s="41">
        <f>Sheet1!N59</f>
        <v>1.1000000000000001</v>
      </c>
      <c r="Q8" s="44">
        <f>Sheet1!O59</f>
        <v>34.730771958563309</v>
      </c>
      <c r="R8" s="45">
        <f>Sheet1!P59</f>
        <v>6.847696740137482</v>
      </c>
      <c r="S8" s="41">
        <f>Sheet1!Q59</f>
        <v>1.2</v>
      </c>
      <c r="T8" s="46">
        <f>Sheet1!R59</f>
        <v>41.270015858026952</v>
      </c>
      <c r="U8" s="43">
        <f>Sheet1!S59</f>
        <v>7.4100943163427635</v>
      </c>
      <c r="V8" s="41">
        <f>Sheet1!T59</f>
        <v>1.25</v>
      </c>
      <c r="W8" s="47">
        <f>Sheet1!U59</f>
        <v>46.5203121012606</v>
      </c>
    </row>
    <row r="9" spans="2:23" ht="16.5" thickBot="1" x14ac:dyDescent="0.3">
      <c r="B9" s="39" t="str">
        <f>Sheet1!A57</f>
        <v xml:space="preserve">CULVERT </v>
      </c>
      <c r="C9" s="40" t="str">
        <f>Sheet1!B57</f>
        <v>RAMP 4</v>
      </c>
      <c r="D9" s="40" t="str">
        <f>Sheet1!C57</f>
        <v>XS</v>
      </c>
      <c r="E9" s="40" t="str">
        <f>Sheet1!D57</f>
        <v>421+50</v>
      </c>
      <c r="F9" s="41">
        <f>Sheet1!E57</f>
        <v>95.488299999999995</v>
      </c>
      <c r="G9" s="41">
        <f>Sheet1!F57</f>
        <v>11.382245179063361</v>
      </c>
      <c r="H9" s="66">
        <f t="shared" si="0"/>
        <v>84.106054820936635</v>
      </c>
      <c r="I9" s="41">
        <f>Sheet1!G57</f>
        <v>22.140837107438021</v>
      </c>
      <c r="J9" s="41">
        <f>Sheet1!H57</f>
        <v>84.106054820936635</v>
      </c>
      <c r="K9" s="42">
        <f>Sheet1!I57</f>
        <v>82.98</v>
      </c>
      <c r="L9" s="43">
        <f>Sheet1!J57</f>
        <v>2.2839673698071761</v>
      </c>
      <c r="M9" s="41">
        <f>Sheet1!K57</f>
        <v>1</v>
      </c>
      <c r="N9" s="44">
        <f>Sheet1!L57</f>
        <v>50.568949493604343</v>
      </c>
      <c r="O9" s="43">
        <f>Sheet1!M57</f>
        <v>2.5484874286896297</v>
      </c>
      <c r="P9" s="41">
        <f>Sheet1!N57</f>
        <v>1.1000000000000001</v>
      </c>
      <c r="Q9" s="44">
        <f>Sheet1!O57</f>
        <v>62.06820953186773</v>
      </c>
      <c r="R9" s="45">
        <f>Sheet1!P57</f>
        <v>2.7510549820237573</v>
      </c>
      <c r="S9" s="41">
        <f>Sheet1!Q57</f>
        <v>1.2</v>
      </c>
      <c r="T9" s="46">
        <f>Sheet1!R57</f>
        <v>73.092792276712615</v>
      </c>
      <c r="U9" s="43">
        <f>Sheet1!S57</f>
        <v>2.992652446427857</v>
      </c>
      <c r="V9" s="41">
        <f>Sheet1!T57</f>
        <v>1.25</v>
      </c>
      <c r="W9" s="47">
        <f>Sheet1!U57</f>
        <v>82.824787919418839</v>
      </c>
    </row>
    <row r="10" spans="2:23" ht="16.5" thickBot="1" x14ac:dyDescent="0.3">
      <c r="B10" s="24" t="s">
        <v>55</v>
      </c>
      <c r="C10" s="25" t="str">
        <f>Sheet1!B49</f>
        <v>RAMP 4</v>
      </c>
      <c r="D10" s="25" t="s">
        <v>60</v>
      </c>
      <c r="E10" s="25" t="s">
        <v>57</v>
      </c>
      <c r="F10" s="48">
        <f>Sheet1!E49</f>
        <v>43.357700000000001</v>
      </c>
      <c r="G10" s="48">
        <f>Sheet1!F49</f>
        <v>1.44</v>
      </c>
      <c r="H10" s="66">
        <f t="shared" si="0"/>
        <v>41.917700000000004</v>
      </c>
      <c r="I10" s="48">
        <f>Sheet1!G49</f>
        <v>5.4877700000000011</v>
      </c>
      <c r="J10" s="48">
        <f>Sheet1!H49</f>
        <v>41.917700000000004</v>
      </c>
      <c r="K10" s="49">
        <f>Sheet1!I49</f>
        <v>62</v>
      </c>
      <c r="L10" s="50">
        <f>Sheet1!J49</f>
        <v>2.8026954609863979</v>
      </c>
      <c r="M10" s="48">
        <f>Sheet1!K49</f>
        <v>1</v>
      </c>
      <c r="N10" s="51">
        <f>Sheet1!L49</f>
        <v>15.380548069937328</v>
      </c>
      <c r="O10" s="50">
        <f>Sheet1!M49</f>
        <v>3.1309743740122693</v>
      </c>
      <c r="P10" s="48">
        <f>Sheet1!N49</f>
        <v>1.1000000000000001</v>
      </c>
      <c r="Q10" s="51">
        <f>Sheet1!O49</f>
        <v>18.900273964520647</v>
      </c>
      <c r="R10" s="52">
        <f>Sheet1!P49</f>
        <v>3.3827849060504285</v>
      </c>
      <c r="S10" s="48">
        <f>Sheet1!Q49</f>
        <v>1.2</v>
      </c>
      <c r="T10" s="53">
        <f>Sheet1!R49</f>
        <v>22.276734628651635</v>
      </c>
      <c r="U10" s="50">
        <f>Sheet1!S49</f>
        <v>3.631174333038528</v>
      </c>
      <c r="V10" s="48">
        <f>Sheet1!T49</f>
        <v>1.25</v>
      </c>
      <c r="W10" s="54">
        <f>Sheet1!U49</f>
        <v>24.90881196202356</v>
      </c>
    </row>
    <row r="11" spans="2:23" x14ac:dyDescent="0.25">
      <c r="B11" s="55"/>
      <c r="C11" s="55"/>
      <c r="D11" s="55"/>
      <c r="E11" s="55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</row>
    <row r="12" spans="2:23" x14ac:dyDescent="0.25">
      <c r="B12" s="55"/>
      <c r="C12" s="55"/>
      <c r="D12" s="55"/>
      <c r="E12" s="55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</row>
    <row r="13" spans="2:23" x14ac:dyDescent="0.25">
      <c r="B13" s="55"/>
      <c r="C13" s="55"/>
      <c r="D13" s="55"/>
      <c r="E13" s="55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</row>
    <row r="14" spans="2:23" ht="16.5" thickBot="1" x14ac:dyDescent="0.3">
      <c r="B14" s="55"/>
      <c r="C14" s="55"/>
      <c r="D14" s="55"/>
      <c r="E14" s="55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</row>
    <row r="15" spans="2:23" x14ac:dyDescent="0.25">
      <c r="B15" s="85"/>
      <c r="C15" s="84"/>
      <c r="D15" s="84"/>
      <c r="E15" s="84"/>
      <c r="F15" s="84"/>
      <c r="G15" s="84" t="s">
        <v>132</v>
      </c>
      <c r="H15" s="84" t="s">
        <v>133</v>
      </c>
      <c r="I15" s="84"/>
      <c r="J15" s="84"/>
      <c r="K15" s="86"/>
      <c r="L15" s="90" t="s">
        <v>15</v>
      </c>
      <c r="M15" s="88"/>
      <c r="N15" s="89"/>
      <c r="O15" s="90" t="s">
        <v>16</v>
      </c>
      <c r="P15" s="88"/>
      <c r="Q15" s="89"/>
      <c r="R15" s="91" t="s">
        <v>1</v>
      </c>
      <c r="S15" s="88"/>
      <c r="T15" s="89"/>
      <c r="U15" s="90" t="s">
        <v>6</v>
      </c>
      <c r="V15" s="88"/>
      <c r="W15" s="89"/>
    </row>
    <row r="16" spans="2:23" ht="32.25" thickBot="1" x14ac:dyDescent="0.3">
      <c r="B16" s="24" t="s">
        <v>129</v>
      </c>
      <c r="C16" s="25" t="s">
        <v>130</v>
      </c>
      <c r="D16" s="25" t="s">
        <v>131</v>
      </c>
      <c r="E16" s="25" t="s">
        <v>97</v>
      </c>
      <c r="F16" s="26" t="s">
        <v>13</v>
      </c>
      <c r="G16" s="26" t="s">
        <v>119</v>
      </c>
      <c r="H16" s="26" t="str">
        <f t="shared" ref="H16" si="1">J16</f>
        <v>unimproved area (Acre)</v>
      </c>
      <c r="I16" s="25" t="s">
        <v>7</v>
      </c>
      <c r="J16" s="26" t="s">
        <v>118</v>
      </c>
      <c r="K16" s="27" t="s">
        <v>102</v>
      </c>
      <c r="L16" s="24" t="s">
        <v>3</v>
      </c>
      <c r="M16" s="25" t="s">
        <v>4</v>
      </c>
      <c r="N16" s="28" t="s">
        <v>5</v>
      </c>
      <c r="O16" s="24" t="s">
        <v>3</v>
      </c>
      <c r="P16" s="25" t="s">
        <v>4</v>
      </c>
      <c r="Q16" s="28" t="s">
        <v>5</v>
      </c>
      <c r="R16" s="29" t="s">
        <v>3</v>
      </c>
      <c r="S16" s="25" t="s">
        <v>4</v>
      </c>
      <c r="T16" s="28" t="s">
        <v>5</v>
      </c>
      <c r="U16" s="24" t="s">
        <v>3</v>
      </c>
      <c r="V16" s="25" t="s">
        <v>4</v>
      </c>
      <c r="W16" s="28" t="s">
        <v>5</v>
      </c>
    </row>
    <row r="17" spans="2:23" x14ac:dyDescent="0.25">
      <c r="B17" s="30" t="s">
        <v>95</v>
      </c>
      <c r="C17" s="31" t="s">
        <v>49</v>
      </c>
      <c r="D17" s="31" t="s">
        <v>60</v>
      </c>
      <c r="E17" s="31" t="s">
        <v>103</v>
      </c>
      <c r="F17" s="32">
        <f>Sheet1!E12</f>
        <v>0.99</v>
      </c>
      <c r="G17" s="32">
        <f>Sheet1!F12</f>
        <v>0.79834710743801651</v>
      </c>
      <c r="H17" s="32">
        <f t="shared" ref="H17:H27" si="2">J17</f>
        <v>0.19165289256198348</v>
      </c>
      <c r="I17" s="32">
        <f>Sheet1!G12</f>
        <v>0.7760082644628099</v>
      </c>
      <c r="J17" s="32">
        <f>Sheet1!H12</f>
        <v>0.19165289256198348</v>
      </c>
      <c r="K17" s="33">
        <f>Sheet1!I12</f>
        <v>5</v>
      </c>
      <c r="L17" s="34">
        <f>Sheet1!J12</f>
        <v>7.2764880427313479</v>
      </c>
      <c r="M17" s="32">
        <f>Sheet1!K12</f>
        <v>1</v>
      </c>
      <c r="N17" s="35">
        <f>Sheet1!L12</f>
        <v>5.6466148574243418</v>
      </c>
      <c r="O17" s="34">
        <f>Sheet1!M12</f>
        <v>8.2882042507758182</v>
      </c>
      <c r="P17" s="32">
        <f>Sheet1!N12</f>
        <v>1.1000000000000001</v>
      </c>
      <c r="Q17" s="35">
        <f>Sheet1!O12</f>
        <v>7.0748864957736091</v>
      </c>
      <c r="R17" s="36">
        <f>Sheet1!P12</f>
        <v>9.0876517826637997</v>
      </c>
      <c r="S17" s="32">
        <f>Sheet1!Q12</f>
        <v>1.2</v>
      </c>
      <c r="T17" s="57">
        <f>Sheet1!R12</f>
        <v>8.4625114654887543</v>
      </c>
      <c r="U17" s="32">
        <f>Sheet1!S12</f>
        <v>9.8994696225611225</v>
      </c>
      <c r="V17" s="32">
        <f>Sheet1!T12</f>
        <v>1.25</v>
      </c>
      <c r="W17" s="38">
        <f>Sheet1!U12</f>
        <v>9.6025878011324561</v>
      </c>
    </row>
    <row r="18" spans="2:23" x14ac:dyDescent="0.25">
      <c r="B18" s="39" t="s">
        <v>95</v>
      </c>
      <c r="C18" s="40" t="s">
        <v>49</v>
      </c>
      <c r="D18" s="40" t="s">
        <v>60</v>
      </c>
      <c r="E18" s="40" t="s">
        <v>104</v>
      </c>
      <c r="F18" s="41">
        <f>Sheet1!E13</f>
        <v>1.58</v>
      </c>
      <c r="G18" s="41">
        <f>Sheet1!F13</f>
        <v>1.2756657483930212</v>
      </c>
      <c r="H18" s="32">
        <f t="shared" si="2"/>
        <v>0.30433425160697891</v>
      </c>
      <c r="I18" s="41">
        <f>Sheet1!G13</f>
        <v>1.2393994490358129</v>
      </c>
      <c r="J18" s="41">
        <f>Sheet1!H13</f>
        <v>0.30433425160697891</v>
      </c>
      <c r="K18" s="42">
        <f>Sheet1!I13</f>
        <v>5</v>
      </c>
      <c r="L18" s="43">
        <f>Sheet1!J13</f>
        <v>7.2764880427313479</v>
      </c>
      <c r="M18" s="41">
        <f>Sheet1!K13</f>
        <v>1</v>
      </c>
      <c r="N18" s="44">
        <f>Sheet1!L13</f>
        <v>9.0184752710769125</v>
      </c>
      <c r="O18" s="43">
        <f>Sheet1!M13</f>
        <v>8.2882042507758182</v>
      </c>
      <c r="P18" s="41">
        <f>Sheet1!N13</f>
        <v>1.1000000000000001</v>
      </c>
      <c r="Q18" s="44">
        <f>Sheet1!O13</f>
        <v>11.299635360098616</v>
      </c>
      <c r="R18" s="45">
        <f>Sheet1!P13</f>
        <v>9.0876517826637997</v>
      </c>
      <c r="S18" s="41">
        <f>Sheet1!Q13</f>
        <v>1.2</v>
      </c>
      <c r="T18" s="58">
        <f>Sheet1!R13</f>
        <v>13.515876734955404</v>
      </c>
      <c r="U18" s="41">
        <f>Sheet1!S13</f>
        <v>9.8994696225611225</v>
      </c>
      <c r="V18" s="41">
        <f>Sheet1!T13</f>
        <v>1.25</v>
      </c>
      <c r="W18" s="47">
        <f>Sheet1!U13</f>
        <v>15.336746494936277</v>
      </c>
    </row>
    <row r="19" spans="2:23" x14ac:dyDescent="0.25">
      <c r="B19" s="39" t="s">
        <v>95</v>
      </c>
      <c r="C19" s="40" t="s">
        <v>49</v>
      </c>
      <c r="D19" s="40" t="s">
        <v>60</v>
      </c>
      <c r="E19" s="40" t="s">
        <v>105</v>
      </c>
      <c r="F19" s="41">
        <f>Sheet1!E14</f>
        <v>0.84</v>
      </c>
      <c r="G19" s="41">
        <f>Sheet1!F14</f>
        <v>0.68007346189164375</v>
      </c>
      <c r="H19" s="32">
        <f t="shared" si="2"/>
        <v>0.15992653810835622</v>
      </c>
      <c r="I19" s="41">
        <f>Sheet1!G14</f>
        <v>0.66004407713498625</v>
      </c>
      <c r="J19" s="41">
        <f>Sheet1!H14</f>
        <v>0.15992653810835622</v>
      </c>
      <c r="K19" s="42">
        <f>Sheet1!I14</f>
        <v>5</v>
      </c>
      <c r="L19" s="43">
        <f>Sheet1!J14</f>
        <v>7.2764880427313479</v>
      </c>
      <c r="M19" s="41">
        <f>Sheet1!K14</f>
        <v>1</v>
      </c>
      <c r="N19" s="44">
        <f>Sheet1!L14</f>
        <v>4.8028028349483751</v>
      </c>
      <c r="O19" s="43">
        <f>Sheet1!M14</f>
        <v>8.2882042507758182</v>
      </c>
      <c r="P19" s="41">
        <f>Sheet1!N14</f>
        <v>1.1000000000000001</v>
      </c>
      <c r="Q19" s="44">
        <f>Sheet1!O14</f>
        <v>6.0176381383905548</v>
      </c>
      <c r="R19" s="45">
        <f>Sheet1!P14</f>
        <v>9.0876517826637997</v>
      </c>
      <c r="S19" s="41">
        <f>Sheet1!Q14</f>
        <v>1.2</v>
      </c>
      <c r="T19" s="58">
        <f>Sheet1!R14</f>
        <v>7.1979008810549283</v>
      </c>
      <c r="U19" s="41">
        <f>Sheet1!S14</f>
        <v>9.8994696225611225</v>
      </c>
      <c r="V19" s="41">
        <f>Sheet1!T14</f>
        <v>1.25</v>
      </c>
      <c r="W19" s="47">
        <f>Sheet1!U14</f>
        <v>8.1676078639364835</v>
      </c>
    </row>
    <row r="20" spans="2:23" x14ac:dyDescent="0.25">
      <c r="B20" s="39" t="s">
        <v>95</v>
      </c>
      <c r="C20" s="40" t="s">
        <v>49</v>
      </c>
      <c r="D20" s="40" t="s">
        <v>60</v>
      </c>
      <c r="E20" s="40" t="s">
        <v>134</v>
      </c>
      <c r="F20" s="41">
        <f>Sheet1!E17</f>
        <v>1.61</v>
      </c>
      <c r="G20" s="41">
        <f>Sheet1!F17</f>
        <v>1.2996584022038569</v>
      </c>
      <c r="H20" s="32">
        <f t="shared" si="2"/>
        <v>0.31034159779614323</v>
      </c>
      <c r="I20" s="41">
        <f>Sheet1!G17</f>
        <v>1.2627950413223141</v>
      </c>
      <c r="J20" s="41">
        <f>Sheet1!H17</f>
        <v>0.31034159779614323</v>
      </c>
      <c r="K20" s="42">
        <f>Sheet1!I17</f>
        <v>5</v>
      </c>
      <c r="L20" s="43">
        <f>Sheet1!J17</f>
        <v>7.2764880427313479</v>
      </c>
      <c r="M20" s="41">
        <f>Sheet1!K17</f>
        <v>1</v>
      </c>
      <c r="N20" s="44">
        <f>Sheet1!L17</f>
        <v>9.1887130186022574</v>
      </c>
      <c r="O20" s="43">
        <f>Sheet1!M17</f>
        <v>8.2882042507758182</v>
      </c>
      <c r="P20" s="41">
        <f>Sheet1!N17</f>
        <v>1.1000000000000001</v>
      </c>
      <c r="Q20" s="44">
        <f>Sheet1!O17</f>
        <v>11.512933552280852</v>
      </c>
      <c r="R20" s="45">
        <f>Sheet1!P17</f>
        <v>9.0876517826637997</v>
      </c>
      <c r="S20" s="41">
        <f>Sheet1!Q17</f>
        <v>1.2</v>
      </c>
      <c r="T20" s="58">
        <f>Sheet1!R17</f>
        <v>13.771009930094081</v>
      </c>
      <c r="U20" s="41">
        <f>Sheet1!S17</f>
        <v>9.8994696225611225</v>
      </c>
      <c r="V20" s="41">
        <f>Sheet1!T17</f>
        <v>1.25</v>
      </c>
      <c r="W20" s="47">
        <f>Sheet1!U17</f>
        <v>15.626251438863832</v>
      </c>
    </row>
    <row r="21" spans="2:23" x14ac:dyDescent="0.25">
      <c r="B21" s="39" t="s">
        <v>95</v>
      </c>
      <c r="C21" s="40" t="s">
        <v>49</v>
      </c>
      <c r="D21" s="40" t="s">
        <v>60</v>
      </c>
      <c r="E21" s="40" t="s">
        <v>109</v>
      </c>
      <c r="F21" s="41">
        <f>Sheet1!E20</f>
        <v>0.52</v>
      </c>
      <c r="G21" s="41">
        <f>Sheet1!F20</f>
        <v>0.42029384756657484</v>
      </c>
      <c r="H21" s="32">
        <f t="shared" si="2"/>
        <v>9.9706152433425177E-2</v>
      </c>
      <c r="I21" s="41">
        <f>Sheet1!G20</f>
        <v>0.40817630853994491</v>
      </c>
      <c r="J21" s="41">
        <f>Sheet1!H20</f>
        <v>9.9706152433425177E-2</v>
      </c>
      <c r="K21" s="42">
        <f>Sheet1!I20</f>
        <v>5</v>
      </c>
      <c r="L21" s="43">
        <f>Sheet1!J20</f>
        <v>7.2764880427313479</v>
      </c>
      <c r="M21" s="41">
        <f>Sheet1!K20</f>
        <v>1</v>
      </c>
      <c r="N21" s="44">
        <f>Sheet1!L20</f>
        <v>2.9700900284171303</v>
      </c>
      <c r="O21" s="43">
        <f>Sheet1!M20</f>
        <v>8.2882042507758182</v>
      </c>
      <c r="P21" s="41">
        <f>Sheet1!N20</f>
        <v>1.1000000000000001</v>
      </c>
      <c r="Q21" s="44">
        <f>Sheet1!O20</f>
        <v>3.7213534770574288</v>
      </c>
      <c r="R21" s="45">
        <f>Sheet1!P20</f>
        <v>9.0876517826637997</v>
      </c>
      <c r="S21" s="41">
        <f>Sheet1!Q20</f>
        <v>1.2</v>
      </c>
      <c r="T21" s="58">
        <f>Sheet1!R20</f>
        <v>4.4512369895329913</v>
      </c>
      <c r="U21" s="41">
        <f>Sheet1!S20</f>
        <v>9.8994696225611225</v>
      </c>
      <c r="V21" s="41">
        <f>Sheet1!T20</f>
        <v>1.25</v>
      </c>
      <c r="W21" s="47">
        <f>Sheet1!U20</f>
        <v>5.0509112088004011</v>
      </c>
    </row>
    <row r="22" spans="2:23" x14ac:dyDescent="0.25">
      <c r="B22" s="39" t="s">
        <v>95</v>
      </c>
      <c r="C22" s="40" t="s">
        <v>49</v>
      </c>
      <c r="D22" s="40" t="s">
        <v>60</v>
      </c>
      <c r="E22" s="40" t="s">
        <v>139</v>
      </c>
      <c r="F22" s="41">
        <f>Sheet1!E21</f>
        <v>1.61</v>
      </c>
      <c r="G22" s="41">
        <f>Sheet1!F21</f>
        <v>1.2984123048668503</v>
      </c>
      <c r="H22" s="32">
        <f t="shared" si="2"/>
        <v>0.31158769513314977</v>
      </c>
      <c r="I22" s="41">
        <f>Sheet1!G21</f>
        <v>1.2620473829201102</v>
      </c>
      <c r="J22" s="41">
        <f>Sheet1!H21</f>
        <v>0.31158769513314977</v>
      </c>
      <c r="K22" s="42">
        <f>Sheet1!I21</f>
        <v>5</v>
      </c>
      <c r="L22" s="43">
        <f>Sheet1!J21</f>
        <v>7.2764880427313479</v>
      </c>
      <c r="M22" s="41">
        <f>Sheet1!K21</f>
        <v>1</v>
      </c>
      <c r="N22" s="44">
        <f>Sheet1!L21</f>
        <v>9.1832726911785727</v>
      </c>
      <c r="O22" s="43">
        <f>Sheet1!M21</f>
        <v>8.2882042507758182</v>
      </c>
      <c r="P22" s="41">
        <f>Sheet1!N21</f>
        <v>1.1000000000000001</v>
      </c>
      <c r="Q22" s="44">
        <f>Sheet1!O21</f>
        <v>11.506117132178851</v>
      </c>
      <c r="R22" s="45">
        <f>Sheet1!P21</f>
        <v>9.0876517826637997</v>
      </c>
      <c r="S22" s="41">
        <f>Sheet1!Q21</f>
        <v>1.2</v>
      </c>
      <c r="T22" s="58">
        <f>Sheet1!R21</f>
        <v>13.762856579040147</v>
      </c>
      <c r="U22" s="41">
        <f>Sheet1!S21</f>
        <v>9.8994696225611225</v>
      </c>
      <c r="V22" s="41">
        <f>Sheet1!T21</f>
        <v>1.25</v>
      </c>
      <c r="W22" s="47">
        <f>Sheet1!U21</f>
        <v>15.616999661812994</v>
      </c>
    </row>
    <row r="23" spans="2:23" x14ac:dyDescent="0.25">
      <c r="B23" s="39" t="s">
        <v>95</v>
      </c>
      <c r="C23" s="40" t="s">
        <v>101</v>
      </c>
      <c r="D23" s="40" t="s">
        <v>50</v>
      </c>
      <c r="E23" s="40" t="s">
        <v>100</v>
      </c>
      <c r="F23" s="41">
        <f>Sheet1!E52</f>
        <v>80.227699999999999</v>
      </c>
      <c r="G23" s="41">
        <f>Sheet1!F52</f>
        <v>7.8062181818181822</v>
      </c>
      <c r="H23" s="32">
        <f t="shared" si="2"/>
        <v>72.421481818181817</v>
      </c>
      <c r="I23" s="41">
        <f>Sheet1!G52</f>
        <v>15.70850090909091</v>
      </c>
      <c r="J23" s="41">
        <f>Sheet1!H52</f>
        <v>72.421481818181817</v>
      </c>
      <c r="K23" s="42">
        <f>Sheet1!I52</f>
        <v>66.179999999999993</v>
      </c>
      <c r="L23" s="43">
        <f>Sheet1!J52</f>
        <v>2.6814319161120563</v>
      </c>
      <c r="M23" s="41">
        <f>Sheet1!K52</f>
        <v>1</v>
      </c>
      <c r="N23" s="44">
        <f>Sheet1!L52</f>
        <v>42.12127569191162</v>
      </c>
      <c r="O23" s="43">
        <f>Sheet1!M52</f>
        <v>2.9945625984021031</v>
      </c>
      <c r="P23" s="41">
        <f>Sheet1!N52</f>
        <v>1.1000000000000001</v>
      </c>
      <c r="Q23" s="93">
        <f>Sheet1!O52</f>
        <v>51.744098229261986</v>
      </c>
      <c r="R23" s="45">
        <f>Sheet1!P52</f>
        <v>3.2346469604520989</v>
      </c>
      <c r="S23" s="41">
        <f>Sheet1!Q52</f>
        <v>1.2</v>
      </c>
      <c r="T23" s="94">
        <f>Sheet1!R52</f>
        <v>60.973745662619933</v>
      </c>
      <c r="U23" s="41">
        <f>Sheet1!S52</f>
        <v>3.5179939199942258</v>
      </c>
      <c r="V23" s="41">
        <f>Sheet1!T52</f>
        <v>1.25</v>
      </c>
      <c r="W23" s="95">
        <f>Sheet1!U52</f>
        <v>69.078013363006988</v>
      </c>
    </row>
    <row r="24" spans="2:23" x14ac:dyDescent="0.25">
      <c r="B24" s="39" t="s">
        <v>95</v>
      </c>
      <c r="C24" s="40" t="s">
        <v>49</v>
      </c>
      <c r="D24" s="40" t="s">
        <v>60</v>
      </c>
      <c r="E24" s="40" t="s">
        <v>138</v>
      </c>
      <c r="F24" s="41">
        <f>Sheet1!E23</f>
        <v>0.89</v>
      </c>
      <c r="G24" s="41">
        <f>Sheet1!F23</f>
        <v>0.71914600550964192</v>
      </c>
      <c r="H24" s="41">
        <f t="shared" si="2"/>
        <v>0.1708539944903581</v>
      </c>
      <c r="I24" s="41">
        <f>Sheet1!G23</f>
        <v>0.69848760330578519</v>
      </c>
      <c r="J24" s="41">
        <f>Sheet1!H23</f>
        <v>0.1708539944903581</v>
      </c>
      <c r="K24" s="41">
        <f>Sheet1!I23</f>
        <v>5</v>
      </c>
      <c r="L24" s="41">
        <f>Sheet1!J23</f>
        <v>7.2764880427313479</v>
      </c>
      <c r="M24" s="41">
        <f>Sheet1!K23</f>
        <v>1</v>
      </c>
      <c r="N24" s="41">
        <f>Sheet1!L23</f>
        <v>5.0825366934506233</v>
      </c>
      <c r="O24" s="41">
        <f>Sheet1!M23</f>
        <v>8.2882042507758182</v>
      </c>
      <c r="P24" s="41">
        <f>Sheet1!N23</f>
        <v>1.1000000000000001</v>
      </c>
      <c r="Q24" s="41">
        <f>Sheet1!O23</f>
        <v>6.3681287151165451</v>
      </c>
      <c r="R24" s="41">
        <f>Sheet1!P23</f>
        <v>9.0876517826637997</v>
      </c>
      <c r="S24" s="41">
        <f>Sheet1!Q23</f>
        <v>1.2</v>
      </c>
      <c r="T24" s="58">
        <f>Sheet1!R23</f>
        <v>7.617134536020461</v>
      </c>
      <c r="U24" s="41">
        <f>Sheet1!S23</f>
        <v>9.8994696225611225</v>
      </c>
      <c r="V24" s="41">
        <f>Sheet1!T23</f>
        <v>1.25</v>
      </c>
      <c r="W24" s="47">
        <f>Sheet1!U23</f>
        <v>8.64332101332643</v>
      </c>
    </row>
    <row r="25" spans="2:23" x14ac:dyDescent="0.25">
      <c r="B25" s="39" t="s">
        <v>95</v>
      </c>
      <c r="C25" s="40" t="str">
        <f>Sheet1!B50</f>
        <v>EB</v>
      </c>
      <c r="D25" s="40" t="s">
        <v>50</v>
      </c>
      <c r="E25" s="40" t="s">
        <v>96</v>
      </c>
      <c r="F25" s="41">
        <f>Sheet1!E50</f>
        <v>55.217700000000001</v>
      </c>
      <c r="G25" s="41">
        <f>Sheet1!F50</f>
        <v>6.26707217630854</v>
      </c>
      <c r="H25" s="32">
        <f t="shared" si="2"/>
        <v>48.950627823691462</v>
      </c>
      <c r="I25" s="41">
        <f>Sheet1!G50</f>
        <v>11.942013305785125</v>
      </c>
      <c r="J25" s="41">
        <f>Sheet1!H50</f>
        <v>48.950627823691462</v>
      </c>
      <c r="K25" s="42">
        <f>Sheet1!I50</f>
        <v>77</v>
      </c>
      <c r="L25" s="43">
        <f>Sheet1!J50</f>
        <v>2.4112358617159497</v>
      </c>
      <c r="M25" s="41">
        <f>Sheet1!K50</f>
        <v>1</v>
      </c>
      <c r="N25" s="44">
        <f>Sheet1!L50</f>
        <v>28.795010743998134</v>
      </c>
      <c r="O25" s="43">
        <f>Sheet1!M50</f>
        <v>2.6911521450149936</v>
      </c>
      <c r="P25" s="41">
        <f>Sheet1!N50</f>
        <v>1.1000000000000001</v>
      </c>
      <c r="Q25" s="96">
        <f>Sheet1!O50</f>
        <v>35.351552196027356</v>
      </c>
      <c r="R25" s="45">
        <f>Sheet1!P50</f>
        <v>2.9055840362135315</v>
      </c>
      <c r="S25" s="41">
        <f>Sheet1!Q50</f>
        <v>1.2</v>
      </c>
      <c r="T25" s="94">
        <f>Sheet1!R50</f>
        <v>41.638227865846609</v>
      </c>
      <c r="U25" s="41">
        <f>Sheet1!S50</f>
        <v>3.1604772533941734</v>
      </c>
      <c r="V25" s="41">
        <f>Sheet1!T50</f>
        <v>1.25</v>
      </c>
      <c r="W25" s="95">
        <f>Sheet1!U50</f>
        <v>47.178076765830554</v>
      </c>
    </row>
    <row r="26" spans="2:23" x14ac:dyDescent="0.25">
      <c r="B26" s="39" t="s">
        <v>95</v>
      </c>
      <c r="C26" s="40" t="s">
        <v>49</v>
      </c>
      <c r="D26" s="40" t="s">
        <v>60</v>
      </c>
      <c r="E26" s="40" t="s">
        <v>140</v>
      </c>
      <c r="F26" s="41">
        <f>Sheet1!E25</f>
        <v>2.87</v>
      </c>
      <c r="G26" s="41">
        <f>Sheet1!F25</f>
        <v>2.3126721763085398</v>
      </c>
      <c r="H26" s="32">
        <f t="shared" si="2"/>
        <v>0.55732782369146028</v>
      </c>
      <c r="I26" s="41">
        <f>Sheet1!G25</f>
        <v>2.2486033057851236</v>
      </c>
      <c r="J26" s="41">
        <f>Sheet1!H25</f>
        <v>0.55732782369146028</v>
      </c>
      <c r="K26" s="42">
        <f>Sheet1!I25</f>
        <v>17</v>
      </c>
      <c r="L26" s="43">
        <f>Sheet1!J25</f>
        <v>5.4501442212857452</v>
      </c>
      <c r="M26" s="41">
        <f>Sheet1!K25</f>
        <v>1</v>
      </c>
      <c r="N26" s="44">
        <f>Sheet1!L25</f>
        <v>12.255212312988814</v>
      </c>
      <c r="O26" s="43">
        <f>Sheet1!M25</f>
        <v>6.1515752492504721</v>
      </c>
      <c r="P26" s="41">
        <f>Sheet1!N25</f>
        <v>1.1000000000000001</v>
      </c>
      <c r="Q26" s="44">
        <f>Sheet1!O25</f>
        <v>15.215697685375613</v>
      </c>
      <c r="R26" s="45">
        <f>Sheet1!P25</f>
        <v>6.6978741656391261</v>
      </c>
      <c r="S26" s="41">
        <f>Sheet1!Q25</f>
        <v>1.2</v>
      </c>
      <c r="T26" s="58">
        <f>Sheet1!R25</f>
        <v>18.073034388706699</v>
      </c>
      <c r="U26" s="41">
        <f>Sheet1!S25</f>
        <v>7.2449494372024947</v>
      </c>
      <c r="V26" s="41">
        <f>Sheet1!T25</f>
        <v>1.25</v>
      </c>
      <c r="W26" s="47">
        <f>Sheet1!U25</f>
        <v>20.3637715684245</v>
      </c>
    </row>
    <row r="27" spans="2:23" x14ac:dyDescent="0.25">
      <c r="B27" s="39" t="s">
        <v>95</v>
      </c>
      <c r="C27" s="40" t="s">
        <v>49</v>
      </c>
      <c r="D27" s="40" t="s">
        <v>60</v>
      </c>
      <c r="E27" s="40" t="s">
        <v>117</v>
      </c>
      <c r="F27" s="41">
        <f>Sheet1!E38</f>
        <v>2.94</v>
      </c>
      <c r="G27" s="41">
        <f>Sheet1!F38</f>
        <v>0.5</v>
      </c>
      <c r="H27" s="32">
        <f t="shared" si="2"/>
        <v>2.44</v>
      </c>
      <c r="I27" s="41">
        <f>Sheet1!G38</f>
        <v>1.1819999999999999</v>
      </c>
      <c r="J27" s="41">
        <f>Sheet1!H38</f>
        <v>2.44</v>
      </c>
      <c r="K27" s="42">
        <f>Sheet1!I38</f>
        <v>5</v>
      </c>
      <c r="L27" s="43">
        <f>Sheet1!J38</f>
        <v>7.2764880427313479</v>
      </c>
      <c r="M27" s="41">
        <f>Sheet1!K38</f>
        <v>1</v>
      </c>
      <c r="N27" s="44">
        <f>Sheet1!L38</f>
        <v>8.6008088665084532</v>
      </c>
      <c r="O27" s="43">
        <f>Sheet1!M38</f>
        <v>8.2882042507758182</v>
      </c>
      <c r="P27" s="41">
        <f>Sheet1!N38</f>
        <v>1.1000000000000001</v>
      </c>
      <c r="Q27" s="44">
        <f>Sheet1!O38</f>
        <v>10.776323166858718</v>
      </c>
      <c r="R27" s="45">
        <f>Sheet1!P38</f>
        <v>9.0876517826637997</v>
      </c>
      <c r="S27" s="41">
        <f>Sheet1!Q38</f>
        <v>1.2</v>
      </c>
      <c r="T27" s="58">
        <f>Sheet1!R38</f>
        <v>12.889925288530334</v>
      </c>
      <c r="U27" s="41">
        <f>Sheet1!S38</f>
        <v>9.8994696225611225</v>
      </c>
      <c r="V27" s="41">
        <f>Sheet1!T38</f>
        <v>1.25</v>
      </c>
      <c r="W27" s="47">
        <f>Sheet1!U38</f>
        <v>14.626466367334057</v>
      </c>
    </row>
    <row r="28" spans="2:23" x14ac:dyDescent="0.25">
      <c r="B28" s="39" t="s">
        <v>95</v>
      </c>
      <c r="C28" s="40" t="s">
        <v>77</v>
      </c>
      <c r="D28" s="40" t="s">
        <v>60</v>
      </c>
      <c r="E28" s="40" t="s">
        <v>136</v>
      </c>
      <c r="F28" s="41">
        <f>Sheet1!E15</f>
        <v>1.95</v>
      </c>
      <c r="G28" s="41">
        <f>Sheet1!F15</f>
        <v>1.5755739210284665</v>
      </c>
      <c r="H28" s="32">
        <f>Sheet1!H15</f>
        <v>0.37442607897153346</v>
      </c>
      <c r="I28" s="41">
        <f>Sheet1!G16</f>
        <v>0.76920661157024794</v>
      </c>
      <c r="J28" s="41">
        <f>Sheet1!I15</f>
        <v>5</v>
      </c>
      <c r="K28" s="42">
        <f>Sheet1!I15</f>
        <v>5</v>
      </c>
      <c r="L28" s="43">
        <f>Sheet1!J15</f>
        <v>7.2764880427313479</v>
      </c>
      <c r="M28" s="41">
        <f>Sheet1!K15</f>
        <v>1</v>
      </c>
      <c r="N28" s="44">
        <f>Sheet1!L15</f>
        <v>11.135532383079628</v>
      </c>
      <c r="O28" s="43">
        <f>Sheet1!M15</f>
        <v>8.2882042507758182</v>
      </c>
      <c r="P28" s="41">
        <f>Sheet1!N15</f>
        <v>1.1000000000000001</v>
      </c>
      <c r="Q28" s="44">
        <f>Sheet1!O15</f>
        <v>13.952187225362815</v>
      </c>
      <c r="R28" s="45">
        <f>Sheet1!P15</f>
        <v>9.0876517826637997</v>
      </c>
      <c r="S28" s="41">
        <f>Sheet1!Q15</f>
        <v>1.2</v>
      </c>
      <c r="T28" s="58">
        <f>Sheet1!R15</f>
        <v>16.688683900980102</v>
      </c>
      <c r="U28" s="41">
        <f>Sheet1!S15</f>
        <v>9.8994696225611225</v>
      </c>
      <c r="V28" s="41">
        <f>Sheet1!T15</f>
        <v>1.25</v>
      </c>
      <c r="W28" s="47">
        <f>Sheet1!U15</f>
        <v>18.936996788488436</v>
      </c>
    </row>
    <row r="29" spans="2:23" x14ac:dyDescent="0.25">
      <c r="B29" s="39" t="s">
        <v>95</v>
      </c>
      <c r="C29" s="40" t="s">
        <v>77</v>
      </c>
      <c r="D29" s="40" t="s">
        <v>60</v>
      </c>
      <c r="E29" s="40" t="s">
        <v>106</v>
      </c>
      <c r="F29" s="41">
        <f>Sheet1!E16</f>
        <v>0.98</v>
      </c>
      <c r="G29" s="41">
        <f>Sheet1!F16</f>
        <v>0.79201101928374651</v>
      </c>
      <c r="H29" s="32">
        <f>J29</f>
        <v>0.18798898071625347</v>
      </c>
      <c r="I29" s="41">
        <f>Sheet1!G16</f>
        <v>0.76920661157024794</v>
      </c>
      <c r="J29" s="41">
        <f>Sheet1!H16</f>
        <v>0.18798898071625347</v>
      </c>
      <c r="K29" s="42">
        <f>Sheet1!I16</f>
        <v>5</v>
      </c>
      <c r="L29" s="43">
        <f>Sheet1!J16</f>
        <v>7.2764880427313479</v>
      </c>
      <c r="M29" s="41">
        <f>Sheet1!K16</f>
        <v>1</v>
      </c>
      <c r="N29" s="44">
        <f>Sheet1!L16</f>
        <v>5.5971227114808055</v>
      </c>
      <c r="O29" s="43">
        <f>Sheet1!M16</f>
        <v>8.2882042507758182</v>
      </c>
      <c r="P29" s="41">
        <f>Sheet1!N16</f>
        <v>1.1000000000000001</v>
      </c>
      <c r="Q29" s="44">
        <f>Sheet1!O16</f>
        <v>7.0128756585155321</v>
      </c>
      <c r="R29" s="45">
        <f>Sheet1!P16</f>
        <v>9.0876517826637997</v>
      </c>
      <c r="S29" s="41">
        <f>Sheet1!Q16</f>
        <v>1.2</v>
      </c>
      <c r="T29" s="58">
        <f>Sheet1!R16</f>
        <v>8.3883382018477732</v>
      </c>
      <c r="U29" s="41">
        <f>Sheet1!S16</f>
        <v>9.8994696225611225</v>
      </c>
      <c r="V29" s="41">
        <f>Sheet1!T16</f>
        <v>1.25</v>
      </c>
      <c r="W29" s="47">
        <f>Sheet1!U16</f>
        <v>9.5184218558910523</v>
      </c>
    </row>
    <row r="30" spans="2:23" x14ac:dyDescent="0.25">
      <c r="B30" s="39" t="s">
        <v>95</v>
      </c>
      <c r="C30" s="40" t="s">
        <v>77</v>
      </c>
      <c r="D30" s="40" t="s">
        <v>60</v>
      </c>
      <c r="E30" s="40" t="s">
        <v>141</v>
      </c>
      <c r="F30" s="41">
        <f>Sheet1!E18</f>
        <v>0.62</v>
      </c>
      <c r="G30" s="41">
        <f>Sheet1!F18</f>
        <v>0.99054178145087235</v>
      </c>
      <c r="H30" s="32">
        <f>J30</f>
        <v>-0.37054178145087235</v>
      </c>
      <c r="I30" s="41">
        <f>Sheet1!G18</f>
        <v>0.78032506887052344</v>
      </c>
      <c r="J30" s="41">
        <f>Sheet1!H18</f>
        <v>-0.37054178145087235</v>
      </c>
      <c r="K30" s="42">
        <f>Sheet1!I18</f>
        <v>5</v>
      </c>
      <c r="L30" s="43">
        <f>Sheet1!J18</f>
        <v>7.2764880427313479</v>
      </c>
      <c r="M30" s="41">
        <f>Sheet1!K18</f>
        <v>1</v>
      </c>
      <c r="N30" s="44">
        <f>Sheet1!L18</f>
        <v>5.6780260330798793</v>
      </c>
      <c r="O30" s="43">
        <f>Sheet1!M18</f>
        <v>8.2882042507758182</v>
      </c>
      <c r="P30" s="41">
        <f>Sheet1!N18</f>
        <v>1.1000000000000001</v>
      </c>
      <c r="Q30" s="44">
        <f>Sheet1!O18</f>
        <v>7.1142429080795662</v>
      </c>
      <c r="R30" s="45">
        <f>Sheet1!P18</f>
        <v>9.0876517826637997</v>
      </c>
      <c r="S30" s="41">
        <f>Sheet1!Q18</f>
        <v>1.2</v>
      </c>
      <c r="T30" s="58">
        <f>Sheet1!R18</f>
        <v>8.5095870038141577</v>
      </c>
      <c r="U30" s="41">
        <f>Sheet1!S18</f>
        <v>9.8994696225611225</v>
      </c>
      <c r="V30" s="41">
        <f>Sheet1!T18</f>
        <v>1.25</v>
      </c>
      <c r="W30" s="47">
        <f>Sheet1!U18</f>
        <v>9.6560053937583277</v>
      </c>
    </row>
    <row r="31" spans="2:23" x14ac:dyDescent="0.25">
      <c r="B31" s="39" t="s">
        <v>95</v>
      </c>
      <c r="C31" s="40" t="s">
        <v>77</v>
      </c>
      <c r="D31" s="40" t="s">
        <v>60</v>
      </c>
      <c r="E31" s="40" t="s">
        <v>108</v>
      </c>
      <c r="F31" s="41">
        <f>Sheet1!E19</f>
        <v>1.74</v>
      </c>
      <c r="G31" s="41">
        <f>Sheet1!F19</f>
        <v>1.4044995408631773</v>
      </c>
      <c r="H31" s="32">
        <f>J31</f>
        <v>0.33550045913682269</v>
      </c>
      <c r="I31" s="41">
        <f>Sheet1!G19</f>
        <v>1.3646997245179064</v>
      </c>
      <c r="J31" s="41">
        <f>Sheet1!H19</f>
        <v>0.33550045913682269</v>
      </c>
      <c r="K31" s="42">
        <f>Sheet1!I19</f>
        <v>5</v>
      </c>
      <c r="L31" s="43">
        <f>Sheet1!J19</f>
        <v>7.2764880427313479</v>
      </c>
      <c r="M31" s="41">
        <f>Sheet1!K19</f>
        <v>1</v>
      </c>
      <c r="N31" s="44">
        <f>Sheet1!L19</f>
        <v>9.9302212273733108</v>
      </c>
      <c r="O31" s="43">
        <f>Sheet1!M19</f>
        <v>8.2882042507758182</v>
      </c>
      <c r="P31" s="41">
        <f>Sheet1!N19</f>
        <v>1.1000000000000001</v>
      </c>
      <c r="Q31" s="44">
        <f>Sheet1!O19</f>
        <v>12.442001063560092</v>
      </c>
      <c r="R31" s="45">
        <f>Sheet1!P19</f>
        <v>9.0876517826637997</v>
      </c>
      <c r="S31" s="41">
        <f>Sheet1!Q19</f>
        <v>1.2</v>
      </c>
      <c r="T31" s="58">
        <f>Sheet1!R19</f>
        <v>14.88229906117914</v>
      </c>
      <c r="U31" s="41">
        <f>Sheet1!S19</f>
        <v>9.8994696225611225</v>
      </c>
      <c r="V31" s="41">
        <f>Sheet1!T19</f>
        <v>1.25</v>
      </c>
      <c r="W31" s="47">
        <f>Sheet1!U19</f>
        <v>16.887254333478182</v>
      </c>
    </row>
    <row r="32" spans="2:23" x14ac:dyDescent="0.25">
      <c r="B32" s="39" t="s">
        <v>95</v>
      </c>
      <c r="C32" s="40" t="s">
        <v>77</v>
      </c>
      <c r="D32" s="40" t="s">
        <v>69</v>
      </c>
      <c r="E32" s="40" t="s">
        <v>98</v>
      </c>
      <c r="F32" s="41">
        <f>Sheet1!E29</f>
        <v>1.55</v>
      </c>
      <c r="G32" s="41">
        <f>Sheet1!F29</f>
        <v>0.24579999999999999</v>
      </c>
      <c r="H32" s="32">
        <f>J32</f>
        <v>1.3042</v>
      </c>
      <c r="I32" s="41">
        <f>Sheet1!G29</f>
        <v>0.61248000000000002</v>
      </c>
      <c r="J32" s="41">
        <f>Sheet1!H29</f>
        <v>1.3042</v>
      </c>
      <c r="K32" s="42">
        <f>Sheet1!I29</f>
        <v>5</v>
      </c>
      <c r="L32" s="43">
        <f>Sheet1!J60</f>
        <v>7.2764880427313479</v>
      </c>
      <c r="M32" s="41">
        <f>Sheet1!K60</f>
        <v>1</v>
      </c>
      <c r="N32" s="44">
        <f>Sheet1!L29</f>
        <v>4.4567033964120961</v>
      </c>
      <c r="O32" s="43">
        <f>Sheet1!M60</f>
        <v>8.2882042507758182</v>
      </c>
      <c r="P32" s="41">
        <f>Sheet1!N60</f>
        <v>1.1000000000000001</v>
      </c>
      <c r="Q32" s="44">
        <f>Sheet1!O29</f>
        <v>5.5839952734666909</v>
      </c>
      <c r="R32" s="45">
        <f>Sheet1!P60</f>
        <v>9.0876517826637997</v>
      </c>
      <c r="S32" s="41">
        <f>Sheet1!Q60</f>
        <v>1.2</v>
      </c>
      <c r="T32" s="58">
        <f>Sheet1!R29</f>
        <v>6.6792059566151094</v>
      </c>
      <c r="U32" s="41">
        <f>Sheet1!S60</f>
        <v>9.8994696225611225</v>
      </c>
      <c r="V32" s="41">
        <f>Sheet1!T60</f>
        <v>1.25</v>
      </c>
      <c r="W32" s="95">
        <f>Sheet1!U29</f>
        <v>7.5790339430327958</v>
      </c>
    </row>
    <row r="33" spans="2:23" x14ac:dyDescent="0.25">
      <c r="B33" s="39" t="s">
        <v>95</v>
      </c>
      <c r="C33" s="40" t="s">
        <v>77</v>
      </c>
      <c r="D33" s="40" t="s">
        <v>60</v>
      </c>
      <c r="E33" s="40" t="s">
        <v>112</v>
      </c>
      <c r="F33" s="41">
        <f>Sheet1!E22</f>
        <v>0.89</v>
      </c>
      <c r="G33" s="41">
        <f>Sheet1!F22</f>
        <v>0.71914600550964192</v>
      </c>
      <c r="H33" s="32">
        <f>J33</f>
        <v>0.1708539944903581</v>
      </c>
      <c r="I33" s="41">
        <f>Sheet1!G22</f>
        <v>0.69848760330578519</v>
      </c>
      <c r="J33" s="41">
        <f>Sheet1!H22</f>
        <v>0.1708539944903581</v>
      </c>
      <c r="K33" s="42">
        <f>Sheet1!I22</f>
        <v>5</v>
      </c>
      <c r="L33" s="43">
        <f>Sheet1!J22</f>
        <v>7.2764880427313479</v>
      </c>
      <c r="M33" s="41">
        <f>Sheet1!K22</f>
        <v>1</v>
      </c>
      <c r="N33" s="41">
        <f>Sheet1!L22</f>
        <v>5.0825366934506233</v>
      </c>
      <c r="O33" s="41">
        <f>Sheet1!M22</f>
        <v>8.2882042507758182</v>
      </c>
      <c r="P33" s="41">
        <f>Sheet1!N22</f>
        <v>1.1000000000000001</v>
      </c>
      <c r="Q33" s="41">
        <f>Sheet1!O22</f>
        <v>6.3681287151165451</v>
      </c>
      <c r="R33" s="41">
        <f>Sheet1!P22</f>
        <v>9.0876517826637997</v>
      </c>
      <c r="S33" s="41">
        <f>Sheet1!Q22</f>
        <v>1.2</v>
      </c>
      <c r="T33" s="58">
        <f>Sheet1!R22</f>
        <v>7.617134536020461</v>
      </c>
      <c r="U33" s="41">
        <f>Sheet1!S22</f>
        <v>9.8994696225611225</v>
      </c>
      <c r="V33" s="41">
        <f>Sheet1!T22</f>
        <v>1.25</v>
      </c>
      <c r="W33" s="94">
        <f>Sheet1!U31</f>
        <v>19.403267785598914</v>
      </c>
    </row>
    <row r="34" spans="2:23" x14ac:dyDescent="0.25">
      <c r="B34" s="39" t="s">
        <v>95</v>
      </c>
      <c r="C34" s="40" t="s">
        <v>77</v>
      </c>
      <c r="D34" s="40" t="s">
        <v>69</v>
      </c>
      <c r="E34" s="40" t="s">
        <v>145</v>
      </c>
      <c r="F34" s="41">
        <f>Sheet1!E42+Sheet1!E24</f>
        <v>2.8963000000000001</v>
      </c>
      <c r="G34" s="41">
        <f>Sheet1!F42+Sheet1!F24</f>
        <v>1.110411937557392</v>
      </c>
      <c r="H34" s="32">
        <f>Sheet1!H42+Sheet1!H24</f>
        <v>1.7858880624426079</v>
      </c>
      <c r="I34" s="41">
        <f>Sheet1!G42+Sheet1!G24</f>
        <v>1.5351371625344352</v>
      </c>
      <c r="J34" s="41"/>
      <c r="K34" s="42">
        <v>5</v>
      </c>
      <c r="L34" s="43">
        <f>Sheet1!J42</f>
        <v>7.2764880427313479</v>
      </c>
      <c r="M34" s="41">
        <f>Sheet1!K44</f>
        <v>1</v>
      </c>
      <c r="N34" s="44">
        <f>Sheet1!L44</f>
        <v>11.170407207134348</v>
      </c>
      <c r="O34" s="43">
        <f>Sheet1!M44</f>
        <v>8.2882042507758182</v>
      </c>
      <c r="P34" s="41">
        <f>Sheet1!N44</f>
        <v>1.1000000000000001</v>
      </c>
      <c r="Q34" s="44">
        <f>Sheet1!O44</f>
        <v>13.995883391646018</v>
      </c>
      <c r="R34" s="45">
        <f>Sheet1!P44</f>
        <v>9.0876517826637997</v>
      </c>
      <c r="S34" s="41">
        <f>Sheet1!Q44</f>
        <v>1.2</v>
      </c>
      <c r="T34" s="58">
        <f>Sheet1!R44</f>
        <v>16.740950366087411</v>
      </c>
      <c r="U34" s="41">
        <f>Sheet1!S44</f>
        <v>9.8994696225611225</v>
      </c>
      <c r="V34" s="41">
        <f>Sheet1!T44</f>
        <v>1.25</v>
      </c>
      <c r="W34" s="95">
        <f>Sheet1!U44</f>
        <v>18.996304633717898</v>
      </c>
    </row>
    <row r="35" spans="2:23" x14ac:dyDescent="0.25">
      <c r="B35" s="39" t="s">
        <v>95</v>
      </c>
      <c r="C35" s="40" t="s">
        <v>77</v>
      </c>
      <c r="D35" s="40" t="s">
        <v>60</v>
      </c>
      <c r="E35" s="40" t="s">
        <v>142</v>
      </c>
      <c r="F35" s="41">
        <f>Sheet1!E24</f>
        <v>0.35</v>
      </c>
      <c r="G35" s="41">
        <f>Sheet1!F24</f>
        <v>0.28301193755739212</v>
      </c>
      <c r="H35" s="32">
        <f>J35</f>
        <v>6.6988062442607854E-2</v>
      </c>
      <c r="I35" s="41">
        <f>Sheet1!G24</f>
        <v>0.27480716253443527</v>
      </c>
      <c r="J35" s="41">
        <f>Sheet1!H24</f>
        <v>6.6988062442607854E-2</v>
      </c>
      <c r="K35" s="42">
        <f>Sheet1!I24</f>
        <v>5</v>
      </c>
      <c r="L35" s="43">
        <f>Sheet1!J24</f>
        <v>7.2764880427313479</v>
      </c>
      <c r="M35" s="41">
        <f>Sheet1!K24</f>
        <v>1</v>
      </c>
      <c r="N35" s="44">
        <f>Sheet1!L24</f>
        <v>1.9996310322387483</v>
      </c>
      <c r="O35" s="43">
        <f>Sheet1!M24</f>
        <v>8.2882042507758182</v>
      </c>
      <c r="P35" s="41">
        <f>Sheet1!N24</f>
        <v>1.1000000000000001</v>
      </c>
      <c r="Q35" s="44">
        <f>Sheet1!O24</f>
        <v>2.5054236819277023</v>
      </c>
      <c r="R35" s="45">
        <f>Sheet1!P24</f>
        <v>9.0876517826637997</v>
      </c>
      <c r="S35" s="41">
        <f>Sheet1!Q24</f>
        <v>1.2</v>
      </c>
      <c r="T35" s="58">
        <f>Sheet1!R24</f>
        <v>2.9968221605938097</v>
      </c>
      <c r="U35" s="41">
        <f>Sheet1!S24</f>
        <v>9.8994696225611225</v>
      </c>
      <c r="V35" s="41">
        <f>Sheet1!T24</f>
        <v>1.25</v>
      </c>
      <c r="W35" s="47">
        <f>Sheet1!U22</f>
        <v>8.64332101332643</v>
      </c>
    </row>
    <row r="36" spans="2:23" x14ac:dyDescent="0.25">
      <c r="B36" s="39" t="s">
        <v>95</v>
      </c>
      <c r="C36" s="40" t="s">
        <v>77</v>
      </c>
      <c r="D36" s="40" t="s">
        <v>60</v>
      </c>
      <c r="E36" s="40" t="s">
        <v>115</v>
      </c>
      <c r="F36" s="41">
        <f>Sheet1!E26</f>
        <v>4.3</v>
      </c>
      <c r="G36" s="41">
        <f>Sheet1!F26</f>
        <v>3.4721763085399449</v>
      </c>
      <c r="H36" s="32">
        <f>J36</f>
        <v>0.82782369146005497</v>
      </c>
      <c r="I36" s="41">
        <f>Sheet1!G26</f>
        <v>3.3733057851239669</v>
      </c>
      <c r="J36" s="41">
        <f>Sheet1!H26</f>
        <v>0.82782369146005497</v>
      </c>
      <c r="K36" s="42">
        <f>Sheet1!I26</f>
        <v>15</v>
      </c>
      <c r="L36" s="43">
        <f>Sheet1!J26</f>
        <v>5.6882937328982619</v>
      </c>
      <c r="M36" s="41">
        <f>Sheet1!K26</f>
        <v>1</v>
      </c>
      <c r="N36" s="44">
        <f>Sheet1!L26</f>
        <v>19.188354156670112</v>
      </c>
      <c r="O36" s="43">
        <f>Sheet1!M26</f>
        <v>6.4276085318591392</v>
      </c>
      <c r="P36" s="41">
        <f>Sheet1!N26</f>
        <v>1.1000000000000001</v>
      </c>
      <c r="Q36" s="44">
        <f>Sheet1!O26</f>
        <v>23.850517949535867</v>
      </c>
      <c r="R36" s="45">
        <f>Sheet1!P26</f>
        <v>7.0044180518439605</v>
      </c>
      <c r="S36" s="41">
        <f>Sheet1!Q26</f>
        <v>1.2</v>
      </c>
      <c r="T36" s="58">
        <f>Sheet1!R26</f>
        <v>28.35365272285437</v>
      </c>
      <c r="U36" s="41">
        <f>Sheet1!S26</f>
        <v>7.5830218559299372</v>
      </c>
      <c r="V36" s="41">
        <f>Sheet1!T26</f>
        <v>1.25</v>
      </c>
      <c r="W36" s="47">
        <f>Sheet1!U26</f>
        <v>31.97481436916242</v>
      </c>
    </row>
    <row r="37" spans="2:23" ht="16.5" thickBot="1" x14ac:dyDescent="0.3">
      <c r="B37" s="24" t="s">
        <v>95</v>
      </c>
      <c r="C37" s="25" t="s">
        <v>77</v>
      </c>
      <c r="D37" s="25" t="s">
        <v>60</v>
      </c>
      <c r="E37" s="25" t="s">
        <v>143</v>
      </c>
      <c r="F37" s="48">
        <f>Sheet1!E43</f>
        <v>4.09</v>
      </c>
      <c r="G37" s="48">
        <f>Sheet1!F43</f>
        <v>1.425068870523416</v>
      </c>
      <c r="H37" s="78">
        <f>J37</f>
        <v>2.6649311294765838</v>
      </c>
      <c r="I37" s="48">
        <f>Sheet1!G43</f>
        <v>2.0820413223140495</v>
      </c>
      <c r="J37" s="48">
        <f>Sheet1!H43</f>
        <v>2.6649311294765838</v>
      </c>
      <c r="K37" s="49">
        <f>Sheet1!I43</f>
        <v>5</v>
      </c>
      <c r="L37" s="50">
        <f>Sheet1!J43</f>
        <v>7.2764880427313479</v>
      </c>
      <c r="M37" s="48">
        <f>Sheet1!K43</f>
        <v>1</v>
      </c>
      <c r="N37" s="51">
        <f>Sheet1!L43</f>
        <v>15.149948786290745</v>
      </c>
      <c r="O37" s="50">
        <f>Sheet1!M43</f>
        <v>8.2882042507758182</v>
      </c>
      <c r="P37" s="48">
        <f>Sheet1!N43</f>
        <v>1.1000000000000001</v>
      </c>
      <c r="Q37" s="51">
        <f>Sheet1!O43</f>
        <v>18.982022111683634</v>
      </c>
      <c r="R37" s="52">
        <f>Sheet1!P43</f>
        <v>9.0876517826637997</v>
      </c>
      <c r="S37" s="48">
        <f>Sheet1!Q43</f>
        <v>1.2</v>
      </c>
      <c r="T37" s="59">
        <f>Sheet1!R43</f>
        <v>22.705039841168361</v>
      </c>
      <c r="U37" s="48">
        <f>Sheet1!S43</f>
        <v>9.8994696225611225</v>
      </c>
      <c r="V37" s="48">
        <f>Sheet1!T43</f>
        <v>1.25</v>
      </c>
      <c r="W37" s="54">
        <f>Sheet1!U43</f>
        <v>25.763881028956153</v>
      </c>
    </row>
    <row r="38" spans="2:23" x14ac:dyDescent="0.25">
      <c r="H38" s="87"/>
    </row>
    <row r="39" spans="2:23" ht="16.5" thickBot="1" x14ac:dyDescent="0.3"/>
    <row r="40" spans="2:23" x14ac:dyDescent="0.25">
      <c r="B40" s="85"/>
      <c r="C40" s="84"/>
      <c r="D40" s="84"/>
      <c r="E40" s="84"/>
      <c r="F40" s="84"/>
      <c r="G40" s="84" t="s">
        <v>132</v>
      </c>
      <c r="H40" s="84" t="s">
        <v>133</v>
      </c>
      <c r="I40" s="84"/>
      <c r="J40" s="84"/>
      <c r="K40" s="84"/>
      <c r="L40" s="88" t="s">
        <v>15</v>
      </c>
      <c r="M40" s="88"/>
      <c r="N40" s="88"/>
      <c r="O40" s="88" t="s">
        <v>16</v>
      </c>
      <c r="P40" s="88"/>
      <c r="Q40" s="88"/>
      <c r="R40" s="88" t="s">
        <v>1</v>
      </c>
      <c r="S40" s="88"/>
      <c r="T40" s="88"/>
      <c r="U40" s="88" t="s">
        <v>6</v>
      </c>
      <c r="V40" s="88"/>
      <c r="W40" s="89"/>
    </row>
    <row r="41" spans="2:23" ht="32.25" thickBot="1" x14ac:dyDescent="0.3">
      <c r="B41" s="24" t="s">
        <v>129</v>
      </c>
      <c r="C41" s="25" t="s">
        <v>130</v>
      </c>
      <c r="D41" s="25" t="s">
        <v>131</v>
      </c>
      <c r="E41" s="40" t="s">
        <v>97</v>
      </c>
      <c r="F41" s="60" t="s">
        <v>13</v>
      </c>
      <c r="G41" s="60" t="s">
        <v>119</v>
      </c>
      <c r="H41" s="26" t="str">
        <f t="shared" ref="H41" si="3">J41</f>
        <v>unimproved area (Acre)</v>
      </c>
      <c r="I41" s="40" t="s">
        <v>7</v>
      </c>
      <c r="J41" s="60" t="s">
        <v>118</v>
      </c>
      <c r="K41" s="40" t="s">
        <v>102</v>
      </c>
      <c r="L41" s="40" t="s">
        <v>3</v>
      </c>
      <c r="M41" s="40" t="s">
        <v>4</v>
      </c>
      <c r="N41" s="40" t="s">
        <v>5</v>
      </c>
      <c r="O41" s="40" t="s">
        <v>3</v>
      </c>
      <c r="P41" s="40" t="s">
        <v>4</v>
      </c>
      <c r="Q41" s="40" t="s">
        <v>5</v>
      </c>
      <c r="R41" s="40" t="s">
        <v>3</v>
      </c>
      <c r="S41" s="40" t="s">
        <v>4</v>
      </c>
      <c r="T41" s="40" t="s">
        <v>5</v>
      </c>
      <c r="U41" s="40" t="s">
        <v>3</v>
      </c>
      <c r="V41" s="40" t="s">
        <v>4</v>
      </c>
      <c r="W41" s="61" t="s">
        <v>5</v>
      </c>
    </row>
    <row r="42" spans="2:23" hidden="1" x14ac:dyDescent="0.25">
      <c r="B42" s="62" t="s">
        <v>126</v>
      </c>
      <c r="C42" s="40" t="str">
        <f>Sheet1!B47</f>
        <v xml:space="preserve">RAMP 1 </v>
      </c>
      <c r="D42" s="40" t="str">
        <f>Sheet1!C47</f>
        <v>LT</v>
      </c>
      <c r="E42" s="40" t="str">
        <f>Sheet1!D47</f>
        <v>110+00</v>
      </c>
      <c r="F42" s="41">
        <f>Sheet1!E47</f>
        <v>100.02770000000001</v>
      </c>
      <c r="G42" s="41">
        <f>Sheet1!F47</f>
        <v>15.286382736455467</v>
      </c>
      <c r="H42" s="41">
        <f>J42</f>
        <v>84.741317263544545</v>
      </c>
      <c r="I42" s="41">
        <f>Sheet1!G47</f>
        <v>26.136599641873275</v>
      </c>
      <c r="J42" s="41">
        <f>Sheet1!H47</f>
        <v>84.741317263544545</v>
      </c>
      <c r="K42" s="41">
        <f>Sheet1!I47</f>
        <v>76.61999999999999</v>
      </c>
      <c r="L42" s="41">
        <f>Sheet1!J47</f>
        <v>2.4198023658282146</v>
      </c>
      <c r="M42" s="41">
        <f>Sheet1!K47</f>
        <v>1</v>
      </c>
      <c r="N42" s="41">
        <f>Sheet1!L47</f>
        <v>63.245405648109816</v>
      </c>
      <c r="O42" s="41">
        <f>Sheet1!M47</f>
        <v>2.7007605814991353</v>
      </c>
      <c r="P42" s="41">
        <f>Sheet1!N47</f>
        <v>1.1000000000000001</v>
      </c>
      <c r="Q42" s="63">
        <f>Sheet1!O47</f>
        <v>77.64756785191534</v>
      </c>
      <c r="R42" s="41">
        <f>Sheet1!P47</f>
        <v>2.9159959866119505</v>
      </c>
      <c r="S42" s="41">
        <f>Sheet1!Q47</f>
        <v>1.2</v>
      </c>
      <c r="T42" s="41">
        <f>Sheet1!R47</f>
        <v>91.457063591262965</v>
      </c>
      <c r="U42" s="41">
        <f>Sheet1!S47</f>
        <v>3.1280094279425281</v>
      </c>
      <c r="V42" s="41">
        <f>Sheet1!T47</f>
        <v>1.25</v>
      </c>
      <c r="W42" s="44">
        <f>Sheet1!U47</f>
        <v>102.19441261767363</v>
      </c>
    </row>
    <row r="43" spans="2:23" x14ac:dyDescent="0.25">
      <c r="B43" s="62" t="s">
        <v>126</v>
      </c>
      <c r="C43" s="40" t="str">
        <f>Sheet1!B56</f>
        <v>RAMP 1</v>
      </c>
      <c r="D43" s="40" t="str">
        <f>Sheet1!C56</f>
        <v>LT</v>
      </c>
      <c r="E43" s="40" t="str">
        <f>Sheet1!D56</f>
        <v>143+30</v>
      </c>
      <c r="F43" s="41">
        <f>Sheet1!E56</f>
        <v>95.488299999999995</v>
      </c>
      <c r="G43" s="41">
        <f>Sheet1!F56</f>
        <v>11.382245179063361</v>
      </c>
      <c r="H43" s="41">
        <f>J43</f>
        <v>84.106054820936635</v>
      </c>
      <c r="I43" s="41">
        <f>Sheet1!G56</f>
        <v>22.140837107438021</v>
      </c>
      <c r="J43" s="41">
        <f>Sheet1!H56</f>
        <v>84.106054820936635</v>
      </c>
      <c r="K43" s="41">
        <f>Sheet1!I56</f>
        <v>82.98</v>
      </c>
      <c r="L43" s="41">
        <f>Sheet1!J56</f>
        <v>2.2839673698071761</v>
      </c>
      <c r="M43" s="41">
        <f>Sheet1!K56</f>
        <v>1</v>
      </c>
      <c r="N43" s="41">
        <f>Sheet1!L56</f>
        <v>50.568949493604343</v>
      </c>
      <c r="O43" s="41">
        <f>Sheet1!M56</f>
        <v>2.5484874286896297</v>
      </c>
      <c r="P43" s="41">
        <f>Sheet1!N56</f>
        <v>1.1000000000000001</v>
      </c>
      <c r="Q43" s="63">
        <f>Sheet1!O56</f>
        <v>62.06820953186773</v>
      </c>
      <c r="R43" s="41">
        <f>Sheet1!P56</f>
        <v>2.7510549820237573</v>
      </c>
      <c r="S43" s="41">
        <f>Sheet1!Q56</f>
        <v>1.2</v>
      </c>
      <c r="T43" s="41">
        <f>Sheet1!R56</f>
        <v>73.092792276712615</v>
      </c>
      <c r="U43" s="41">
        <f>Sheet1!S56</f>
        <v>2.992652446427857</v>
      </c>
      <c r="V43" s="41">
        <f>Sheet1!T56</f>
        <v>1.25</v>
      </c>
      <c r="W43" s="44">
        <f>Sheet1!U56</f>
        <v>82.824787919418839</v>
      </c>
    </row>
    <row r="44" spans="2:23" x14ac:dyDescent="0.25">
      <c r="B44" s="62" t="s">
        <v>126</v>
      </c>
      <c r="C44" s="40" t="str">
        <f>Sheet1!B69</f>
        <v>RAMP 1</v>
      </c>
      <c r="D44" s="40" t="str">
        <f>Sheet1!C69</f>
        <v>RT</v>
      </c>
      <c r="E44" s="40" t="str">
        <f>Sheet1!D69</f>
        <v>161+50</v>
      </c>
      <c r="F44" s="41">
        <f>Sheet1!E69</f>
        <v>27.3</v>
      </c>
      <c r="G44" s="41">
        <f>Sheet1!F69</f>
        <v>0.78181818181818186</v>
      </c>
      <c r="H44" s="41">
        <f>J44</f>
        <v>26.518181818181819</v>
      </c>
      <c r="I44" s="41">
        <f>Sheet1!G69</f>
        <v>8.6590909090909083</v>
      </c>
      <c r="J44" s="41">
        <f>Sheet1!H69</f>
        <v>26.518181818181819</v>
      </c>
      <c r="K44" s="41">
        <f>Sheet1!I69</f>
        <v>144</v>
      </c>
      <c r="L44" s="41">
        <f>Sheet1!J69</f>
        <v>1.4835112600445803</v>
      </c>
      <c r="M44" s="41">
        <f>Sheet1!K69</f>
        <v>1</v>
      </c>
      <c r="N44" s="41">
        <f>Sheet1!L69</f>
        <v>12.845858865386024</v>
      </c>
      <c r="O44" s="41">
        <f>Sheet1!M69</f>
        <v>1.6544442831566311</v>
      </c>
      <c r="P44" s="41">
        <f>Sheet1!N69</f>
        <v>1.1000000000000001</v>
      </c>
      <c r="Q44" s="63">
        <f>Sheet1!O69</f>
        <v>15.758581797066912</v>
      </c>
      <c r="R44" s="41">
        <f>Sheet1!P69</f>
        <v>1.7852239610901648</v>
      </c>
      <c r="S44" s="41">
        <f>Sheet1!Q69</f>
        <v>1.2</v>
      </c>
      <c r="T44" s="41">
        <f>Sheet1!R69</f>
        <v>18.550099886600528</v>
      </c>
      <c r="U44" s="41">
        <f>Sheet1!S69</f>
        <v>1.9138047138476109</v>
      </c>
      <c r="V44" s="41">
        <f>Sheet1!T69</f>
        <v>1.25</v>
      </c>
      <c r="W44" s="44">
        <f>Sheet1!U69</f>
        <v>20.714761249316467</v>
      </c>
    </row>
    <row r="45" spans="2:23" x14ac:dyDescent="0.25">
      <c r="B45" s="62" t="s">
        <v>126</v>
      </c>
      <c r="C45" s="40" t="s">
        <v>86</v>
      </c>
      <c r="D45" s="40" t="s">
        <v>50</v>
      </c>
      <c r="E45" s="40" t="s">
        <v>73</v>
      </c>
      <c r="F45" s="41">
        <f>F6</f>
        <v>88.078299999999999</v>
      </c>
      <c r="G45" s="41">
        <f>G6</f>
        <v>9.3548451790633607</v>
      </c>
      <c r="H45" s="41">
        <f>J45</f>
        <v>78.723454820936638</v>
      </c>
      <c r="I45" s="41">
        <f t="shared" ref="I45:W45" si="4">I6</f>
        <v>18.701397107438019</v>
      </c>
      <c r="J45" s="41">
        <f t="shared" si="4"/>
        <v>78.723454820936638</v>
      </c>
      <c r="K45" s="41">
        <f t="shared" si="4"/>
        <v>82.98</v>
      </c>
      <c r="L45" s="41">
        <f t="shared" si="4"/>
        <v>2.2839673698071761</v>
      </c>
      <c r="M45" s="41">
        <f t="shared" si="4"/>
        <v>1</v>
      </c>
      <c r="N45" s="41">
        <f t="shared" si="4"/>
        <v>42.713380763194742</v>
      </c>
      <c r="O45" s="41">
        <f t="shared" si="4"/>
        <v>2.5484874286896297</v>
      </c>
      <c r="P45" s="41">
        <f t="shared" si="4"/>
        <v>1.1000000000000001</v>
      </c>
      <c r="Q45" s="63">
        <f t="shared" si="4"/>
        <v>52.426302969962244</v>
      </c>
      <c r="R45" s="41">
        <f t="shared" si="4"/>
        <v>2.7510549820237573</v>
      </c>
      <c r="S45" s="41">
        <f t="shared" si="4"/>
        <v>1.2</v>
      </c>
      <c r="T45" s="41">
        <f t="shared" si="4"/>
        <v>61.738286019866457</v>
      </c>
      <c r="U45" s="41">
        <f t="shared" si="4"/>
        <v>2.992652446427857</v>
      </c>
      <c r="V45" s="41">
        <f t="shared" si="4"/>
        <v>1.25</v>
      </c>
      <c r="W45" s="44">
        <f t="shared" si="4"/>
        <v>69.958477256491548</v>
      </c>
    </row>
    <row r="46" spans="2:23" x14ac:dyDescent="0.25">
      <c r="B46" s="62" t="s">
        <v>126</v>
      </c>
      <c r="C46" s="40" t="str">
        <f>C7</f>
        <v>RAMP3</v>
      </c>
      <c r="D46" s="40" t="s">
        <v>50</v>
      </c>
      <c r="E46" s="40" t="str">
        <f>E7</f>
        <v>312+18</v>
      </c>
      <c r="F46" s="41">
        <f>F7</f>
        <v>96.428299999999993</v>
      </c>
      <c r="G46" s="41">
        <f>G7</f>
        <v>11.581145179063361</v>
      </c>
      <c r="H46" s="41">
        <f>J46</f>
        <v>84.847154820936638</v>
      </c>
      <c r="I46" s="41">
        <f t="shared" ref="I46:W46" si="5">I7</f>
        <v>22.542177107438022</v>
      </c>
      <c r="J46" s="41">
        <f t="shared" si="5"/>
        <v>84.847154820936638</v>
      </c>
      <c r="K46" s="41">
        <f t="shared" si="5"/>
        <v>82.98</v>
      </c>
      <c r="L46" s="41">
        <f t="shared" si="5"/>
        <v>2.2839673698071761</v>
      </c>
      <c r="M46" s="41">
        <f t="shared" si="5"/>
        <v>1</v>
      </c>
      <c r="N46" s="41">
        <f t="shared" si="5"/>
        <v>51.485596957802755</v>
      </c>
      <c r="O46" s="41">
        <f t="shared" si="5"/>
        <v>2.5484874286896297</v>
      </c>
      <c r="P46" s="41">
        <f t="shared" si="5"/>
        <v>1.1000000000000001</v>
      </c>
      <c r="Q46" s="63">
        <f t="shared" si="5"/>
        <v>63.193300470961063</v>
      </c>
      <c r="R46" s="41">
        <f t="shared" si="5"/>
        <v>2.7510549820237573</v>
      </c>
      <c r="S46" s="41">
        <f t="shared" si="5"/>
        <v>1.2</v>
      </c>
      <c r="T46" s="41">
        <f t="shared" si="5"/>
        <v>74.417722364495106</v>
      </c>
      <c r="U46" s="41">
        <f t="shared" si="5"/>
        <v>2.992652446427857</v>
      </c>
      <c r="V46" s="41">
        <f t="shared" si="5"/>
        <v>1.25</v>
      </c>
      <c r="W46" s="44">
        <f t="shared" si="5"/>
        <v>84.326126835480537</v>
      </c>
    </row>
    <row r="47" spans="2:23" x14ac:dyDescent="0.25">
      <c r="B47" s="62" t="s">
        <v>126</v>
      </c>
      <c r="C47" s="40" t="str">
        <f>C7</f>
        <v>RAMP3</v>
      </c>
      <c r="D47" s="40" t="s">
        <v>50</v>
      </c>
      <c r="E47" s="40" t="str">
        <f>E8</f>
        <v>318+50</v>
      </c>
      <c r="F47" s="41">
        <f t="shared" ref="F47:W47" si="6">F8</f>
        <v>10.6363</v>
      </c>
      <c r="G47" s="41">
        <f t="shared" si="6"/>
        <v>3.0524698806244261</v>
      </c>
      <c r="H47" s="41">
        <f t="shared" si="6"/>
        <v>7.5838301193755733</v>
      </c>
      <c r="I47" s="41">
        <f t="shared" si="6"/>
        <v>5.022371928374656</v>
      </c>
      <c r="J47" s="41">
        <f t="shared" si="6"/>
        <v>7.5838301193755733</v>
      </c>
      <c r="K47" s="41">
        <f t="shared" si="6"/>
        <v>16</v>
      </c>
      <c r="L47" s="41">
        <f t="shared" si="6"/>
        <v>5.5666820761190863</v>
      </c>
      <c r="M47" s="41">
        <f t="shared" si="6"/>
        <v>1</v>
      </c>
      <c r="N47" s="41">
        <f t="shared" si="6"/>
        <v>27.957947793286849</v>
      </c>
      <c r="O47" s="41">
        <f t="shared" si="6"/>
        <v>6.2865573285921874</v>
      </c>
      <c r="P47" s="41">
        <f t="shared" si="6"/>
        <v>1.1000000000000001</v>
      </c>
      <c r="Q47" s="63">
        <f t="shared" si="6"/>
        <v>34.730771958563309</v>
      </c>
      <c r="R47" s="41">
        <f t="shared" si="6"/>
        <v>6.847696740137482</v>
      </c>
      <c r="S47" s="41">
        <f t="shared" si="6"/>
        <v>1.2</v>
      </c>
      <c r="T47" s="41">
        <f t="shared" si="6"/>
        <v>41.270015858026952</v>
      </c>
      <c r="U47" s="41">
        <f t="shared" si="6"/>
        <v>7.4100943163427635</v>
      </c>
      <c r="V47" s="41">
        <f t="shared" si="6"/>
        <v>1.25</v>
      </c>
      <c r="W47" s="44">
        <f t="shared" si="6"/>
        <v>46.5203121012606</v>
      </c>
    </row>
    <row r="48" spans="2:23" x14ac:dyDescent="0.25">
      <c r="B48" s="62" t="s">
        <v>126</v>
      </c>
      <c r="C48" s="40" t="str">
        <f>Sheet1!B68</f>
        <v>RAMP4</v>
      </c>
      <c r="D48" s="40" t="s">
        <v>69</v>
      </c>
      <c r="E48" s="40" t="str">
        <f>Sheet1!D68</f>
        <v>403+04</v>
      </c>
      <c r="F48" s="41">
        <f>Sheet1!E68</f>
        <v>1.24</v>
      </c>
      <c r="G48" s="41">
        <f>Sheet1!F68</f>
        <v>0.43553719008264463</v>
      </c>
      <c r="H48" s="41">
        <f>J48</f>
        <v>0.80446280991735541</v>
      </c>
      <c r="I48" s="41">
        <f>Sheet1!G68</f>
        <v>0.63332231404958683</v>
      </c>
      <c r="J48" s="41">
        <f>Sheet1!H68</f>
        <v>0.80446280991735541</v>
      </c>
      <c r="K48" s="41">
        <f>Sheet1!I68</f>
        <v>5</v>
      </c>
      <c r="L48" s="41">
        <f>Sheet1!J68</f>
        <v>7.2764880427313479</v>
      </c>
      <c r="M48" s="41">
        <f>Sheet1!K68</f>
        <v>1</v>
      </c>
      <c r="N48" s="41">
        <f>Sheet1!L68</f>
        <v>4.6083622453767665</v>
      </c>
      <c r="O48" s="41">
        <f>Sheet1!M68</f>
        <v>8.2882042507758182</v>
      </c>
      <c r="P48" s="41">
        <f>Sheet1!N68</f>
        <v>1.1000000000000001</v>
      </c>
      <c r="Q48" s="63">
        <f>Sheet1!O68</f>
        <v>5.7740151649586595</v>
      </c>
      <c r="R48" s="41">
        <f>Sheet1!P68</f>
        <v>9.0876517826637997</v>
      </c>
      <c r="S48" s="41">
        <f>Sheet1!Q68</f>
        <v>1.2</v>
      </c>
      <c r="T48" s="41">
        <f>Sheet1!R68</f>
        <v>6.906495187528189</v>
      </c>
      <c r="U48" s="41">
        <f>Sheet1!S68</f>
        <v>9.8994696225611225</v>
      </c>
      <c r="V48" s="41">
        <f>Sheet1!T68</f>
        <v>1.25</v>
      </c>
      <c r="W48" s="44">
        <f>Sheet1!U68</f>
        <v>7.8369437615299997</v>
      </c>
    </row>
    <row r="49" spans="2:23" x14ac:dyDescent="0.25">
      <c r="B49" s="62" t="s">
        <v>126</v>
      </c>
      <c r="C49" s="40" t="s">
        <v>121</v>
      </c>
      <c r="D49" s="40" t="str">
        <f>Sheet1!C69</f>
        <v>RT</v>
      </c>
      <c r="E49" s="40" t="str">
        <f>E10</f>
        <v>443+00</v>
      </c>
      <c r="F49" s="41">
        <f t="shared" ref="F49:W49" si="7">F10</f>
        <v>43.357700000000001</v>
      </c>
      <c r="G49" s="41">
        <f t="shared" si="7"/>
        <v>1.44</v>
      </c>
      <c r="H49" s="41">
        <f t="shared" si="7"/>
        <v>41.917700000000004</v>
      </c>
      <c r="I49" s="41">
        <f t="shared" si="7"/>
        <v>5.4877700000000011</v>
      </c>
      <c r="J49" s="41">
        <f t="shared" si="7"/>
        <v>41.917700000000004</v>
      </c>
      <c r="K49" s="41">
        <f t="shared" si="7"/>
        <v>62</v>
      </c>
      <c r="L49" s="41">
        <f t="shared" si="7"/>
        <v>2.8026954609863979</v>
      </c>
      <c r="M49" s="41">
        <f t="shared" si="7"/>
        <v>1</v>
      </c>
      <c r="N49" s="41">
        <f t="shared" si="7"/>
        <v>15.380548069937328</v>
      </c>
      <c r="O49" s="41">
        <f t="shared" si="7"/>
        <v>3.1309743740122693</v>
      </c>
      <c r="P49" s="41">
        <f t="shared" si="7"/>
        <v>1.1000000000000001</v>
      </c>
      <c r="Q49" s="63">
        <f t="shared" si="7"/>
        <v>18.900273964520647</v>
      </c>
      <c r="R49" s="41">
        <f t="shared" si="7"/>
        <v>3.3827849060504285</v>
      </c>
      <c r="S49" s="41">
        <f t="shared" si="7"/>
        <v>1.2</v>
      </c>
      <c r="T49" s="41">
        <f t="shared" si="7"/>
        <v>22.276734628651635</v>
      </c>
      <c r="U49" s="41">
        <f t="shared" si="7"/>
        <v>3.631174333038528</v>
      </c>
      <c r="V49" s="41">
        <f t="shared" si="7"/>
        <v>1.25</v>
      </c>
      <c r="W49" s="44">
        <f t="shared" si="7"/>
        <v>24.90881196202356</v>
      </c>
    </row>
    <row r="50" spans="2:23" hidden="1" x14ac:dyDescent="0.25">
      <c r="B50" s="62" t="s">
        <v>126</v>
      </c>
      <c r="C50" s="40" t="str">
        <f>Sheet1!B46</f>
        <v>EB</v>
      </c>
      <c r="D50" s="40" t="str">
        <f>Sheet1!C46</f>
        <v>RT</v>
      </c>
      <c r="E50" s="40" t="str">
        <f>Sheet1!D46</f>
        <v>667+00</v>
      </c>
      <c r="F50" s="41">
        <f>Sheet1!E46</f>
        <v>501.16770000000002</v>
      </c>
      <c r="G50" s="41">
        <f>Sheet1!F46</f>
        <v>20.450469054178146</v>
      </c>
      <c r="H50" s="41">
        <f>J50</f>
        <v>480.71723094582188</v>
      </c>
      <c r="I50" s="41">
        <f>Sheet1!G46</f>
        <v>70.513051432506884</v>
      </c>
      <c r="J50" s="41">
        <f>Sheet1!H46</f>
        <v>480.71723094582188</v>
      </c>
      <c r="K50" s="41">
        <f>Sheet1!I46</f>
        <v>261.42</v>
      </c>
      <c r="L50" s="41">
        <f>Sheet1!J46</f>
        <v>0.88477893255967754</v>
      </c>
      <c r="M50" s="41">
        <f>Sheet1!K46</f>
        <v>1</v>
      </c>
      <c r="N50" s="41">
        <f>Sheet1!L46</f>
        <v>62.388462377979081</v>
      </c>
      <c r="O50" s="41">
        <f>Sheet1!M46</f>
        <v>0.98844318780596352</v>
      </c>
      <c r="P50" s="41">
        <f>Sheet1!N46</f>
        <v>1.1000000000000001</v>
      </c>
      <c r="Q50" s="63">
        <f>Sheet1!O46</f>
        <v>76.667959873860269</v>
      </c>
      <c r="R50" s="41">
        <f>Sheet1!P46</f>
        <v>1.0678936024820138</v>
      </c>
      <c r="S50" s="41">
        <f>Sheet1!Q46</f>
        <v>1.2</v>
      </c>
      <c r="T50" s="41">
        <f>Sheet1!R46</f>
        <v>90.360523819511158</v>
      </c>
      <c r="U50" s="41">
        <f>Sheet1!S46</f>
        <v>1.1658076295754882</v>
      </c>
      <c r="V50" s="41">
        <f>Sheet1!T46</f>
        <v>1.25</v>
      </c>
      <c r="W50" s="44">
        <f>Sheet1!U46</f>
        <v>102.75581668083166</v>
      </c>
    </row>
    <row r="51" spans="2:23" x14ac:dyDescent="0.25">
      <c r="B51" s="62" t="s">
        <v>126</v>
      </c>
      <c r="C51" s="40" t="str">
        <f>SUMMARY!C19</f>
        <v>EB</v>
      </c>
      <c r="D51" s="40" t="str">
        <f>SUMMARY!D19</f>
        <v>XS</v>
      </c>
      <c r="E51" s="40" t="s">
        <v>127</v>
      </c>
      <c r="F51" s="41">
        <f>SUMMARY!F19</f>
        <v>0.84</v>
      </c>
      <c r="G51" s="41">
        <f>SUMMARY!G19</f>
        <v>0.68007346189164375</v>
      </c>
      <c r="H51" s="41">
        <f>J51</f>
        <v>0.15992653810835622</v>
      </c>
      <c r="I51" s="41">
        <f>SUMMARY!I19</f>
        <v>0.66004407713498625</v>
      </c>
      <c r="J51" s="41">
        <f>SUMMARY!J19</f>
        <v>0.15992653810835622</v>
      </c>
      <c r="K51" s="41">
        <f>SUMMARY!K19</f>
        <v>5</v>
      </c>
      <c r="L51" s="41">
        <f>SUMMARY!L19</f>
        <v>7.2764880427313479</v>
      </c>
      <c r="M51" s="41">
        <f>SUMMARY!M19</f>
        <v>1</v>
      </c>
      <c r="N51" s="41">
        <f>SUMMARY!N19</f>
        <v>4.8028028349483751</v>
      </c>
      <c r="O51" s="41">
        <f>SUMMARY!O19</f>
        <v>8.2882042507758182</v>
      </c>
      <c r="P51" s="41">
        <f>SUMMARY!P19</f>
        <v>1.1000000000000001</v>
      </c>
      <c r="Q51" s="63">
        <f>SUMMARY!Q19</f>
        <v>6.0176381383905548</v>
      </c>
      <c r="R51" s="41">
        <f>SUMMARY!R19</f>
        <v>9.0876517826637997</v>
      </c>
      <c r="S51" s="41">
        <f>SUMMARY!S19</f>
        <v>1.2</v>
      </c>
      <c r="T51" s="41">
        <f>SUMMARY!T19</f>
        <v>7.1979008810549283</v>
      </c>
      <c r="U51" s="41">
        <f>SUMMARY!U19</f>
        <v>9.8994696225611225</v>
      </c>
      <c r="V51" s="41">
        <f>SUMMARY!V19</f>
        <v>1.25</v>
      </c>
      <c r="W51" s="44">
        <f>SUMMARY!W19</f>
        <v>8.1676078639364835</v>
      </c>
    </row>
    <row r="52" spans="2:23" x14ac:dyDescent="0.25">
      <c r="B52" s="62" t="s">
        <v>126</v>
      </c>
      <c r="C52" s="40" t="str">
        <f>C23</f>
        <v xml:space="preserve">EB </v>
      </c>
      <c r="D52" s="40" t="s">
        <v>50</v>
      </c>
      <c r="E52" s="40" t="s">
        <v>128</v>
      </c>
      <c r="F52" s="41">
        <f>F23</f>
        <v>80.227699999999999</v>
      </c>
      <c r="G52" s="41">
        <f>G23</f>
        <v>7.8062181818181822</v>
      </c>
      <c r="H52" s="41">
        <f>J52</f>
        <v>72.421481818181817</v>
      </c>
      <c r="I52" s="41">
        <f t="shared" ref="I52:W52" si="8">I23</f>
        <v>15.70850090909091</v>
      </c>
      <c r="J52" s="41">
        <f t="shared" si="8"/>
        <v>72.421481818181817</v>
      </c>
      <c r="K52" s="41">
        <f t="shared" si="8"/>
        <v>66.179999999999993</v>
      </c>
      <c r="L52" s="41">
        <f t="shared" si="8"/>
        <v>2.6814319161120563</v>
      </c>
      <c r="M52" s="41">
        <f t="shared" si="8"/>
        <v>1</v>
      </c>
      <c r="N52" s="41">
        <f t="shared" si="8"/>
        <v>42.12127569191162</v>
      </c>
      <c r="O52" s="41">
        <f t="shared" si="8"/>
        <v>2.9945625984021031</v>
      </c>
      <c r="P52" s="41">
        <f t="shared" si="8"/>
        <v>1.1000000000000001</v>
      </c>
      <c r="Q52" s="63">
        <f t="shared" si="8"/>
        <v>51.744098229261986</v>
      </c>
      <c r="R52" s="41">
        <f t="shared" si="8"/>
        <v>3.2346469604520989</v>
      </c>
      <c r="S52" s="41">
        <f t="shared" si="8"/>
        <v>1.2</v>
      </c>
      <c r="T52" s="41">
        <f t="shared" si="8"/>
        <v>60.973745662619933</v>
      </c>
      <c r="U52" s="41">
        <f t="shared" si="8"/>
        <v>3.5179939199942258</v>
      </c>
      <c r="V52" s="41">
        <f t="shared" si="8"/>
        <v>1.25</v>
      </c>
      <c r="W52" s="44">
        <f t="shared" si="8"/>
        <v>69.078013363006988</v>
      </c>
    </row>
    <row r="53" spans="2:23" x14ac:dyDescent="0.25">
      <c r="B53" s="62" t="s">
        <v>126</v>
      </c>
      <c r="C53" s="40" t="str">
        <f>Sheet1!B70</f>
        <v>EB</v>
      </c>
      <c r="D53" s="40" t="str">
        <f>Sheet1!C70</f>
        <v>RT</v>
      </c>
      <c r="E53" s="40" t="str">
        <f>Sheet1!D70</f>
        <v>771+50</v>
      </c>
      <c r="F53" s="41">
        <f>Sheet1!E70</f>
        <v>3.76</v>
      </c>
      <c r="G53" s="41">
        <f>Sheet1!F70</f>
        <v>1.8712580348943986</v>
      </c>
      <c r="H53" s="41">
        <f>J53</f>
        <v>1.8887419651056012</v>
      </c>
      <c r="I53" s="41">
        <f>Sheet1!G70</f>
        <v>2.2507548209366393</v>
      </c>
      <c r="J53" s="41">
        <f>Sheet1!H70</f>
        <v>1.8887419651056012</v>
      </c>
      <c r="K53" s="41">
        <f>Sheet1!I70</f>
        <v>5</v>
      </c>
      <c r="L53" s="41">
        <f>Sheet1!J70</f>
        <v>7.2764880427313479</v>
      </c>
      <c r="M53" s="41">
        <f>Sheet1!K70</f>
        <v>1</v>
      </c>
      <c r="N53" s="41">
        <f>Sheet1!L70</f>
        <v>16.377590541665391</v>
      </c>
      <c r="O53" s="41">
        <f>Sheet1!M70</f>
        <v>8.2882042507758182</v>
      </c>
      <c r="P53" s="41">
        <f>Sheet1!N70</f>
        <v>1.1000000000000001</v>
      </c>
      <c r="Q53" s="63">
        <f>Sheet1!O70</f>
        <v>20.520187241775343</v>
      </c>
      <c r="R53" s="41">
        <f>Sheet1!P70</f>
        <v>9.0876517826637997</v>
      </c>
      <c r="S53" s="41">
        <f>Sheet1!Q70</f>
        <v>1.2</v>
      </c>
      <c r="T53" s="41">
        <f>Sheet1!R70</f>
        <v>24.544891272988789</v>
      </c>
      <c r="U53" s="41">
        <f>Sheet1!S70</f>
        <v>9.8994696225611225</v>
      </c>
      <c r="V53" s="41">
        <f>Sheet1!T70</f>
        <v>1.25</v>
      </c>
      <c r="W53" s="44">
        <f>Sheet1!U70</f>
        <v>27.851598722119071</v>
      </c>
    </row>
    <row r="54" spans="2:23" ht="16.5" thickBot="1" x14ac:dyDescent="0.3">
      <c r="B54" s="64" t="s">
        <v>126</v>
      </c>
      <c r="C54" s="25" t="str">
        <f>Sheet1!B71</f>
        <v>WB</v>
      </c>
      <c r="D54" s="25" t="str">
        <f>Sheet1!C71</f>
        <v>LT</v>
      </c>
      <c r="E54" s="25" t="str">
        <f>Sheet1!D71</f>
        <v>971+50</v>
      </c>
      <c r="F54" s="48">
        <f>Sheet1!E71</f>
        <v>71.89</v>
      </c>
      <c r="G54" s="48">
        <f>Sheet1!F71</f>
        <v>1.5618457300275481</v>
      </c>
      <c r="H54" s="48">
        <f>J54</f>
        <v>70.328154269972458</v>
      </c>
      <c r="I54" s="48">
        <f>Sheet1!G71</f>
        <v>22.504107438016533</v>
      </c>
      <c r="J54" s="48">
        <f>Sheet1!H71</f>
        <v>70.328154269972458</v>
      </c>
      <c r="K54" s="48">
        <f>Sheet1!I71</f>
        <v>59.28</v>
      </c>
      <c r="L54" s="48">
        <f>Sheet1!J71</f>
        <v>2.8876499477340736</v>
      </c>
      <c r="M54" s="48">
        <f>Sheet1!K71</f>
        <v>1</v>
      </c>
      <c r="N54" s="48">
        <f>Sheet1!L71</f>
        <v>64.983984667190413</v>
      </c>
      <c r="O54" s="48">
        <f>Sheet1!M71</f>
        <v>3.2266331417253102</v>
      </c>
      <c r="P54" s="48">
        <f>Sheet1!N71</f>
        <v>1.1000000000000001</v>
      </c>
      <c r="Q54" s="65">
        <f>Sheet1!O71</f>
        <v>79.873748772896334</v>
      </c>
      <c r="R54" s="48">
        <f>Sheet1!P71</f>
        <v>3.4867401001300524</v>
      </c>
      <c r="S54" s="48">
        <f>Sheet1!Q71</f>
        <v>1.2</v>
      </c>
      <c r="T54" s="48">
        <f>Sheet1!R71</f>
        <v>94.159168586120671</v>
      </c>
      <c r="U54" s="48">
        <f>Sheet1!S71</f>
        <v>3.7434025368601498</v>
      </c>
      <c r="V54" s="48">
        <f>Sheet1!T71</f>
        <v>1.25</v>
      </c>
      <c r="W54" s="51">
        <f>Sheet1!U71</f>
        <v>105.30241609155556</v>
      </c>
    </row>
  </sheetData>
  <mergeCells count="12">
    <mergeCell ref="L40:N40"/>
    <mergeCell ref="O40:Q40"/>
    <mergeCell ref="R40:T40"/>
    <mergeCell ref="U40:W40"/>
    <mergeCell ref="L2:N2"/>
    <mergeCell ref="O2:Q2"/>
    <mergeCell ref="R2:T2"/>
    <mergeCell ref="U2:W2"/>
    <mergeCell ref="L15:N15"/>
    <mergeCell ref="O15:Q15"/>
    <mergeCell ref="R15:T15"/>
    <mergeCell ref="U15:W15"/>
  </mergeCells>
  <pageMargins left="0.7" right="0.7" top="0.75" bottom="0.75" header="0.3" footer="0.3"/>
  <pageSetup scale="4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71"/>
  <sheetViews>
    <sheetView workbookViewId="0">
      <pane xSplit="4" ySplit="10" topLeftCell="E36" activePane="bottomRight" state="frozen"/>
      <selection activeCell="A10" sqref="A10"/>
      <selection pane="topRight" activeCell="E10" sqref="E10"/>
      <selection pane="bottomLeft" activeCell="A11" sqref="A11"/>
      <selection pane="bottomRight" activeCell="A47" sqref="A47:XFD47"/>
    </sheetView>
  </sheetViews>
  <sheetFormatPr defaultRowHeight="15" x14ac:dyDescent="0.25"/>
  <cols>
    <col min="1" max="1" width="15" customWidth="1"/>
    <col min="4" max="5" width="13" customWidth="1"/>
    <col min="6" max="7" width="12" bestFit="1" customWidth="1"/>
    <col min="8" max="8" width="12" customWidth="1"/>
    <col min="9" max="9" width="7" bestFit="1" customWidth="1"/>
    <col min="10" max="10" width="24" bestFit="1" customWidth="1"/>
    <col min="11" max="11" width="5.42578125" customWidth="1"/>
    <col min="12" max="12" width="12" bestFit="1" customWidth="1"/>
    <col min="13" max="13" width="24" bestFit="1" customWidth="1"/>
    <col min="14" max="14" width="12" customWidth="1"/>
    <col min="15" max="15" width="12" bestFit="1" customWidth="1"/>
    <col min="16" max="16" width="24" bestFit="1" customWidth="1"/>
    <col min="17" max="21" width="9.140625" customWidth="1"/>
    <col min="23" max="24" width="10.7109375" customWidth="1"/>
  </cols>
  <sheetData>
    <row r="1" spans="1:30" ht="24.75" customHeight="1" x14ac:dyDescent="0.25">
      <c r="D1" s="9" t="s">
        <v>26</v>
      </c>
      <c r="E1" s="2" t="s">
        <v>17</v>
      </c>
      <c r="F1" s="2" t="s">
        <v>18</v>
      </c>
      <c r="G1" s="3" t="s">
        <v>19</v>
      </c>
      <c r="H1" s="18"/>
    </row>
    <row r="2" spans="1:30" ht="18.75" customHeight="1" x14ac:dyDescent="0.25">
      <c r="D2" s="7" t="s">
        <v>20</v>
      </c>
      <c r="E2" s="1">
        <v>249.29889</v>
      </c>
      <c r="F2" s="1">
        <v>34.174900000000001</v>
      </c>
      <c r="G2" s="4">
        <v>1.02668</v>
      </c>
      <c r="H2" s="19"/>
    </row>
    <row r="3" spans="1:30" ht="19.5" customHeight="1" x14ac:dyDescent="0.25">
      <c r="D3" s="7" t="s">
        <v>21</v>
      </c>
      <c r="E3" s="1">
        <v>261.13655</v>
      </c>
      <c r="F3" s="1">
        <v>32.358699999999999</v>
      </c>
      <c r="G3" s="4">
        <v>1.01519</v>
      </c>
      <c r="H3" s="19"/>
    </row>
    <row r="4" spans="1:30" ht="16.5" customHeight="1" x14ac:dyDescent="0.25">
      <c r="D4" s="7" t="s">
        <v>22</v>
      </c>
      <c r="E4" s="1">
        <v>269.52906000000002</v>
      </c>
      <c r="F4" s="1">
        <v>31.104620000000001</v>
      </c>
      <c r="G4" s="4">
        <v>1.0071399999999999</v>
      </c>
      <c r="H4" s="19"/>
    </row>
    <row r="5" spans="1:30" ht="16.5" customHeight="1" x14ac:dyDescent="0.25">
      <c r="D5" s="7" t="s">
        <v>23</v>
      </c>
      <c r="E5" s="1">
        <v>281.11392999999998</v>
      </c>
      <c r="F5" s="1">
        <v>29.392219999999998</v>
      </c>
      <c r="G5" s="4">
        <v>0.99607000000000001</v>
      </c>
      <c r="H5" s="19"/>
    </row>
    <row r="6" spans="1:30" ht="19.5" customHeight="1" x14ac:dyDescent="0.25">
      <c r="D6" s="7" t="s">
        <v>24</v>
      </c>
      <c r="E6" s="1">
        <v>289.29525999999998</v>
      </c>
      <c r="F6" s="1">
        <v>28.173349999999999</v>
      </c>
      <c r="G6" s="4">
        <v>0.98823000000000005</v>
      </c>
      <c r="H6" s="19"/>
    </row>
    <row r="7" spans="1:30" ht="20.25" customHeight="1" thickBot="1" x14ac:dyDescent="0.3">
      <c r="D7" s="8" t="s">
        <v>25</v>
      </c>
      <c r="E7" s="5">
        <v>296.80041999999997</v>
      </c>
      <c r="F7" s="5">
        <v>27.025970000000001</v>
      </c>
      <c r="G7" s="6">
        <v>0.98097000000000001</v>
      </c>
      <c r="H7" s="19"/>
    </row>
    <row r="8" spans="1:30" ht="16.5" customHeight="1" x14ac:dyDescent="0.25"/>
    <row r="9" spans="1:30" x14ac:dyDescent="0.25">
      <c r="J9" t="s">
        <v>15</v>
      </c>
      <c r="M9" t="s">
        <v>16</v>
      </c>
      <c r="P9" t="s">
        <v>1</v>
      </c>
      <c r="S9" t="s">
        <v>6</v>
      </c>
    </row>
    <row r="10" spans="1:30" x14ac:dyDescent="0.25">
      <c r="D10" t="s">
        <v>0</v>
      </c>
      <c r="E10" t="s">
        <v>13</v>
      </c>
      <c r="F10" t="s">
        <v>12</v>
      </c>
      <c r="G10" t="s">
        <v>7</v>
      </c>
      <c r="H10" t="s">
        <v>82</v>
      </c>
      <c r="I10" t="s">
        <v>2</v>
      </c>
      <c r="J10" t="s">
        <v>3</v>
      </c>
      <c r="K10" t="s">
        <v>4</v>
      </c>
      <c r="L10" t="s">
        <v>5</v>
      </c>
      <c r="M10" t="s">
        <v>3</v>
      </c>
      <c r="N10" t="s">
        <v>4</v>
      </c>
      <c r="O10" t="s">
        <v>5</v>
      </c>
      <c r="P10" t="s">
        <v>3</v>
      </c>
      <c r="Q10" t="s">
        <v>4</v>
      </c>
      <c r="R10" t="s">
        <v>5</v>
      </c>
      <c r="S10" t="s">
        <v>3</v>
      </c>
      <c r="T10" t="s">
        <v>4</v>
      </c>
      <c r="U10" t="s">
        <v>5</v>
      </c>
      <c r="W10" t="s">
        <v>8</v>
      </c>
      <c r="AB10" t="s">
        <v>89</v>
      </c>
      <c r="AC10" t="s">
        <v>87</v>
      </c>
      <c r="AD10" t="s">
        <v>88</v>
      </c>
    </row>
    <row r="11" spans="1:30" x14ac:dyDescent="0.25">
      <c r="A11" t="s">
        <v>29</v>
      </c>
      <c r="B11" t="s">
        <v>27</v>
      </c>
      <c r="C11" t="s">
        <v>28</v>
      </c>
      <c r="D11">
        <v>1</v>
      </c>
      <c r="E11">
        <v>4.3</v>
      </c>
      <c r="F11">
        <v>1.2</v>
      </c>
      <c r="G11">
        <f>F11*0.9+(E11-F11)*0.3</f>
        <v>2.0099999999999998</v>
      </c>
      <c r="I11">
        <v>15</v>
      </c>
      <c r="J11">
        <f>$E$4/($F$4+I11)^$G$4</f>
        <v>5.6882937328982619</v>
      </c>
      <c r="K11">
        <v>1</v>
      </c>
      <c r="L11">
        <f>K11*J11*G11</f>
        <v>11.433470403125504</v>
      </c>
      <c r="M11">
        <f>$E$5/($F$5+I11)^$G$5</f>
        <v>6.4276085318591392</v>
      </c>
      <c r="N11">
        <v>1.1000000000000001</v>
      </c>
      <c r="O11">
        <f>N11*M11*G11</f>
        <v>14.211442463940557</v>
      </c>
      <c r="P11">
        <f>$E$6/($F$6+I11)^$G$6</f>
        <v>7.0044180518439605</v>
      </c>
      <c r="Q11">
        <v>1.2</v>
      </c>
      <c r="R11">
        <f>Q11*P11*G11</f>
        <v>16.894656341047629</v>
      </c>
      <c r="S11">
        <f>$E$7/($F$7+I11)^$G$7</f>
        <v>7.5830218559299372</v>
      </c>
      <c r="T11">
        <v>1.25</v>
      </c>
      <c r="U11">
        <f>T11*S11*G11</f>
        <v>19.052342413023965</v>
      </c>
    </row>
    <row r="12" spans="1:30" x14ac:dyDescent="0.25">
      <c r="A12" t="s">
        <v>14</v>
      </c>
      <c r="B12">
        <v>4268</v>
      </c>
      <c r="C12">
        <v>4272</v>
      </c>
      <c r="E12">
        <v>0.99</v>
      </c>
      <c r="F12" s="17">
        <f>Z12</f>
        <v>0.79834710743801651</v>
      </c>
      <c r="G12">
        <f>F12*0.9+(E12-F12)*0.3</f>
        <v>0.7760082644628099</v>
      </c>
      <c r="H12" s="17">
        <f>E12-F12</f>
        <v>0.19165289256198348</v>
      </c>
      <c r="I12">
        <v>5</v>
      </c>
      <c r="J12">
        <f t="shared" ref="J12:J41" si="0">$E$4/($F$4+I12)^$G$4</f>
        <v>7.2764880427313479</v>
      </c>
      <c r="K12">
        <v>1</v>
      </c>
      <c r="L12">
        <f>K12*J12*G12</f>
        <v>5.6466148574243418</v>
      </c>
      <c r="M12">
        <f t="shared" ref="M12:M41" si="1">$E$5/($F$5+I12)^$G$5</f>
        <v>8.2882042507758182</v>
      </c>
      <c r="N12">
        <v>1.1000000000000001</v>
      </c>
      <c r="O12">
        <f>N12*M12*G12</f>
        <v>7.0748864957736091</v>
      </c>
      <c r="P12">
        <f t="shared" ref="P12:P41" si="2">$E$6/($F$6+I12)^$G$6</f>
        <v>9.0876517826637997</v>
      </c>
      <c r="Q12">
        <v>1.2</v>
      </c>
      <c r="R12">
        <f>Q12*P12*G12</f>
        <v>8.4625114654887543</v>
      </c>
      <c r="S12">
        <f t="shared" ref="S12:S41" si="3">$E$7/($F$7+I12)^$G$7</f>
        <v>9.8994696225611225</v>
      </c>
      <c r="T12">
        <v>1.25</v>
      </c>
      <c r="U12">
        <f>T12*S12*G12</f>
        <v>9.6025878011324561</v>
      </c>
      <c r="W12">
        <v>378</v>
      </c>
      <c r="X12">
        <v>92</v>
      </c>
      <c r="Y12">
        <f t="shared" ref="Y12:Y13" si="4">X12*W12</f>
        <v>34776</v>
      </c>
      <c r="Z12">
        <f t="shared" ref="Z12" si="5">Y12/43560</f>
        <v>0.79834710743801651</v>
      </c>
    </row>
    <row r="13" spans="1:30" x14ac:dyDescent="0.25">
      <c r="A13" t="s">
        <v>14</v>
      </c>
      <c r="B13">
        <f>C12</f>
        <v>4272</v>
      </c>
      <c r="C13">
        <v>4278</v>
      </c>
      <c r="E13">
        <v>1.58</v>
      </c>
      <c r="F13" s="17">
        <f>Z13</f>
        <v>1.2756657483930212</v>
      </c>
      <c r="G13">
        <f>F13*0.9+(E13-F13)*0.3</f>
        <v>1.2393994490358129</v>
      </c>
      <c r="H13" s="17">
        <f t="shared" ref="H13:H41" si="6">E13-F13</f>
        <v>0.30433425160697891</v>
      </c>
      <c r="I13">
        <v>5</v>
      </c>
      <c r="J13">
        <f t="shared" si="0"/>
        <v>7.2764880427313479</v>
      </c>
      <c r="K13">
        <v>1</v>
      </c>
      <c r="L13">
        <f>K13*J13*G13</f>
        <v>9.0184752710769125</v>
      </c>
      <c r="M13">
        <f t="shared" si="1"/>
        <v>8.2882042507758182</v>
      </c>
      <c r="N13">
        <v>1.1000000000000001</v>
      </c>
      <c r="O13">
        <f>N13*M13*G13</f>
        <v>11.299635360098616</v>
      </c>
      <c r="P13">
        <f t="shared" si="2"/>
        <v>9.0876517826637997</v>
      </c>
      <c r="Q13">
        <v>1.2</v>
      </c>
      <c r="R13">
        <f>Q13*P13*G13</f>
        <v>13.515876734955404</v>
      </c>
      <c r="S13">
        <f t="shared" si="3"/>
        <v>9.8994696225611225</v>
      </c>
      <c r="T13">
        <v>1.25</v>
      </c>
      <c r="U13">
        <f>T13*S13*G13</f>
        <v>15.336746494936277</v>
      </c>
      <c r="W13">
        <v>604</v>
      </c>
      <c r="X13">
        <v>92</v>
      </c>
      <c r="Y13">
        <f t="shared" si="4"/>
        <v>55568</v>
      </c>
      <c r="Z13">
        <f>Y13/43560</f>
        <v>1.2756657483930212</v>
      </c>
    </row>
    <row r="14" spans="1:30" x14ac:dyDescent="0.25">
      <c r="A14" t="s">
        <v>14</v>
      </c>
      <c r="B14">
        <f t="shared" ref="B14:B21" si="7">C13</f>
        <v>4278</v>
      </c>
      <c r="C14">
        <v>4282</v>
      </c>
      <c r="E14">
        <v>0.84</v>
      </c>
      <c r="F14" s="17">
        <f t="shared" ref="F14:F27" si="8">Z14</f>
        <v>0.68007346189164375</v>
      </c>
      <c r="G14">
        <f t="shared" ref="G14:G26" si="9">F14*0.9+(E14-F14)*0.3</f>
        <v>0.66004407713498625</v>
      </c>
      <c r="H14" s="17">
        <f t="shared" si="6"/>
        <v>0.15992653810835622</v>
      </c>
      <c r="I14">
        <v>5</v>
      </c>
      <c r="J14">
        <f t="shared" si="0"/>
        <v>7.2764880427313479</v>
      </c>
      <c r="K14">
        <v>1</v>
      </c>
      <c r="L14">
        <f t="shared" ref="L14:L27" si="10">K14*J14*G14</f>
        <v>4.8028028349483751</v>
      </c>
      <c r="M14">
        <f t="shared" si="1"/>
        <v>8.2882042507758182</v>
      </c>
      <c r="N14">
        <v>1.1000000000000001</v>
      </c>
      <c r="O14">
        <f t="shared" ref="O14:O27" si="11">N14*M14*G14</f>
        <v>6.0176381383905548</v>
      </c>
      <c r="P14">
        <f t="shared" si="2"/>
        <v>9.0876517826637997</v>
      </c>
      <c r="Q14">
        <v>1.2</v>
      </c>
      <c r="R14">
        <f t="shared" ref="R14:R27" si="12">Q14*P14*G14</f>
        <v>7.1979008810549283</v>
      </c>
      <c r="S14">
        <f t="shared" si="3"/>
        <v>9.8994696225611225</v>
      </c>
      <c r="T14">
        <v>1.25</v>
      </c>
      <c r="U14">
        <f t="shared" ref="U14:U27" si="13">T14*S14*G14</f>
        <v>8.1676078639364835</v>
      </c>
      <c r="W14">
        <v>322</v>
      </c>
      <c r="X14">
        <v>92</v>
      </c>
      <c r="Y14">
        <f t="shared" ref="Y14" si="14">X14*W14</f>
        <v>29624</v>
      </c>
      <c r="Z14">
        <f t="shared" ref="Z14" si="15">Y14/43560</f>
        <v>0.68007346189164375</v>
      </c>
    </row>
    <row r="15" spans="1:30" x14ac:dyDescent="0.25">
      <c r="A15" t="s">
        <v>14</v>
      </c>
      <c r="B15">
        <f t="shared" si="7"/>
        <v>4282</v>
      </c>
      <c r="C15">
        <v>4289</v>
      </c>
      <c r="E15">
        <v>1.95</v>
      </c>
      <c r="F15" s="17">
        <f t="shared" si="8"/>
        <v>1.5755739210284665</v>
      </c>
      <c r="G15">
        <f t="shared" si="9"/>
        <v>1.5303443526170799</v>
      </c>
      <c r="H15" s="17">
        <f t="shared" si="6"/>
        <v>0.37442607897153346</v>
      </c>
      <c r="I15">
        <v>5</v>
      </c>
      <c r="J15">
        <f t="shared" si="0"/>
        <v>7.2764880427313479</v>
      </c>
      <c r="K15">
        <v>1</v>
      </c>
      <c r="L15">
        <f t="shared" si="10"/>
        <v>11.135532383079628</v>
      </c>
      <c r="M15">
        <f t="shared" si="1"/>
        <v>8.2882042507758182</v>
      </c>
      <c r="N15">
        <v>1.1000000000000001</v>
      </c>
      <c r="O15">
        <f t="shared" si="11"/>
        <v>13.952187225362815</v>
      </c>
      <c r="P15">
        <f t="shared" si="2"/>
        <v>9.0876517826637997</v>
      </c>
      <c r="Q15">
        <v>1.2</v>
      </c>
      <c r="R15">
        <f t="shared" si="12"/>
        <v>16.688683900980102</v>
      </c>
      <c r="S15">
        <f t="shared" si="3"/>
        <v>9.8994696225611225</v>
      </c>
      <c r="T15">
        <v>1.25</v>
      </c>
      <c r="U15">
        <f t="shared" si="13"/>
        <v>18.936996788488436</v>
      </c>
      <c r="W15">
        <v>746</v>
      </c>
      <c r="X15">
        <v>92</v>
      </c>
      <c r="Y15">
        <f t="shared" ref="Y15" si="16">X15*W15</f>
        <v>68632</v>
      </c>
      <c r="Z15">
        <f t="shared" ref="Z15" si="17">Y15/43560</f>
        <v>1.5755739210284665</v>
      </c>
    </row>
    <row r="16" spans="1:30" x14ac:dyDescent="0.25">
      <c r="A16" t="s">
        <v>14</v>
      </c>
      <c r="B16">
        <f t="shared" si="7"/>
        <v>4289</v>
      </c>
      <c r="C16">
        <v>4293</v>
      </c>
      <c r="E16">
        <v>0.98</v>
      </c>
      <c r="F16" s="17">
        <f t="shared" si="8"/>
        <v>0.79201101928374651</v>
      </c>
      <c r="G16">
        <f t="shared" si="9"/>
        <v>0.76920661157024794</v>
      </c>
      <c r="H16" s="17">
        <f t="shared" si="6"/>
        <v>0.18798898071625347</v>
      </c>
      <c r="I16">
        <v>5</v>
      </c>
      <c r="J16">
        <f t="shared" si="0"/>
        <v>7.2764880427313479</v>
      </c>
      <c r="K16">
        <v>1</v>
      </c>
      <c r="L16">
        <f t="shared" si="10"/>
        <v>5.5971227114808055</v>
      </c>
      <c r="M16">
        <f>$E$5/($F$5+I16)^$G$5</f>
        <v>8.2882042507758182</v>
      </c>
      <c r="N16">
        <v>1.1000000000000001</v>
      </c>
      <c r="O16">
        <f t="shared" si="11"/>
        <v>7.0128756585155321</v>
      </c>
      <c r="P16">
        <f t="shared" si="2"/>
        <v>9.0876517826637997</v>
      </c>
      <c r="Q16">
        <v>1.2</v>
      </c>
      <c r="R16">
        <f t="shared" si="12"/>
        <v>8.3883382018477732</v>
      </c>
      <c r="S16">
        <f t="shared" si="3"/>
        <v>9.8994696225611225</v>
      </c>
      <c r="T16">
        <v>1.25</v>
      </c>
      <c r="U16">
        <f t="shared" si="13"/>
        <v>9.5184218558910523</v>
      </c>
      <c r="W16">
        <v>375</v>
      </c>
      <c r="X16">
        <v>92</v>
      </c>
      <c r="Y16">
        <f t="shared" ref="Y16:Y27" si="18">X16*W16</f>
        <v>34500</v>
      </c>
      <c r="Z16">
        <f t="shared" ref="Z16:Z27" si="19">Y16/43560</f>
        <v>0.79201101928374651</v>
      </c>
    </row>
    <row r="17" spans="1:26" x14ac:dyDescent="0.25">
      <c r="A17" t="s">
        <v>14</v>
      </c>
      <c r="B17">
        <f t="shared" si="7"/>
        <v>4293</v>
      </c>
      <c r="C17">
        <v>4299</v>
      </c>
      <c r="E17">
        <v>1.61</v>
      </c>
      <c r="F17" s="17">
        <f t="shared" si="8"/>
        <v>1.2996584022038569</v>
      </c>
      <c r="G17">
        <f t="shared" si="9"/>
        <v>1.2627950413223141</v>
      </c>
      <c r="H17" s="17">
        <f t="shared" si="6"/>
        <v>0.31034159779614323</v>
      </c>
      <c r="I17">
        <v>5</v>
      </c>
      <c r="J17">
        <f t="shared" si="0"/>
        <v>7.2764880427313479</v>
      </c>
      <c r="K17">
        <v>1</v>
      </c>
      <c r="L17">
        <f t="shared" si="10"/>
        <v>9.1887130186022574</v>
      </c>
      <c r="M17">
        <f t="shared" si="1"/>
        <v>8.2882042507758182</v>
      </c>
      <c r="N17">
        <v>1.1000000000000001</v>
      </c>
      <c r="O17">
        <f t="shared" si="11"/>
        <v>11.512933552280852</v>
      </c>
      <c r="P17">
        <f t="shared" si="2"/>
        <v>9.0876517826637997</v>
      </c>
      <c r="Q17">
        <v>1.2</v>
      </c>
      <c r="R17">
        <f t="shared" si="12"/>
        <v>13.771009930094081</v>
      </c>
      <c r="S17">
        <f t="shared" si="3"/>
        <v>9.8994696225611225</v>
      </c>
      <c r="T17">
        <v>1.25</v>
      </c>
      <c r="U17">
        <f t="shared" si="13"/>
        <v>15.626251438863832</v>
      </c>
      <c r="W17">
        <v>615.36</v>
      </c>
      <c r="X17">
        <v>92</v>
      </c>
      <c r="Y17">
        <f t="shared" si="18"/>
        <v>56613.120000000003</v>
      </c>
      <c r="Z17">
        <f t="shared" si="19"/>
        <v>1.2996584022038569</v>
      </c>
    </row>
    <row r="18" spans="1:26" x14ac:dyDescent="0.25">
      <c r="A18" t="s">
        <v>14</v>
      </c>
      <c r="B18">
        <f t="shared" si="7"/>
        <v>4299</v>
      </c>
      <c r="C18">
        <v>4301</v>
      </c>
      <c r="E18">
        <v>0.62</v>
      </c>
      <c r="F18" s="17">
        <f t="shared" si="8"/>
        <v>0.99054178145087235</v>
      </c>
      <c r="G18">
        <f t="shared" si="9"/>
        <v>0.78032506887052344</v>
      </c>
      <c r="H18" s="17">
        <f t="shared" si="6"/>
        <v>-0.37054178145087235</v>
      </c>
      <c r="I18">
        <v>5</v>
      </c>
      <c r="J18">
        <f t="shared" si="0"/>
        <v>7.2764880427313479</v>
      </c>
      <c r="K18">
        <v>1</v>
      </c>
      <c r="L18">
        <f t="shared" si="10"/>
        <v>5.6780260330798793</v>
      </c>
      <c r="M18">
        <f t="shared" si="1"/>
        <v>8.2882042507758182</v>
      </c>
      <c r="N18">
        <v>1.1000000000000001</v>
      </c>
      <c r="O18">
        <f t="shared" si="11"/>
        <v>7.1142429080795662</v>
      </c>
      <c r="P18">
        <f t="shared" si="2"/>
        <v>9.0876517826637997</v>
      </c>
      <c r="Q18">
        <v>1.2</v>
      </c>
      <c r="R18">
        <f t="shared" si="12"/>
        <v>8.5095870038141577</v>
      </c>
      <c r="S18">
        <f t="shared" si="3"/>
        <v>9.8994696225611225</v>
      </c>
      <c r="T18">
        <v>1.25</v>
      </c>
      <c r="U18">
        <f t="shared" si="13"/>
        <v>9.6560053937583277</v>
      </c>
      <c r="W18">
        <v>469</v>
      </c>
      <c r="X18">
        <v>92</v>
      </c>
      <c r="Y18">
        <f t="shared" si="18"/>
        <v>43148</v>
      </c>
      <c r="Z18">
        <f t="shared" si="19"/>
        <v>0.99054178145087235</v>
      </c>
    </row>
    <row r="19" spans="1:26" x14ac:dyDescent="0.25">
      <c r="A19" t="s">
        <v>14</v>
      </c>
      <c r="B19">
        <f t="shared" si="7"/>
        <v>4301</v>
      </c>
      <c r="C19">
        <v>4308</v>
      </c>
      <c r="E19">
        <v>1.74</v>
      </c>
      <c r="F19" s="17">
        <f t="shared" si="8"/>
        <v>1.4044995408631773</v>
      </c>
      <c r="G19">
        <f t="shared" si="9"/>
        <v>1.3646997245179064</v>
      </c>
      <c r="H19" s="17">
        <f t="shared" si="6"/>
        <v>0.33550045913682269</v>
      </c>
      <c r="I19">
        <v>5</v>
      </c>
      <c r="J19">
        <f t="shared" si="0"/>
        <v>7.2764880427313479</v>
      </c>
      <c r="K19">
        <v>1</v>
      </c>
      <c r="L19">
        <f t="shared" si="10"/>
        <v>9.9302212273733108</v>
      </c>
      <c r="M19">
        <f t="shared" si="1"/>
        <v>8.2882042507758182</v>
      </c>
      <c r="N19">
        <v>1.1000000000000001</v>
      </c>
      <c r="O19">
        <f t="shared" si="11"/>
        <v>12.442001063560092</v>
      </c>
      <c r="P19">
        <f t="shared" si="2"/>
        <v>9.0876517826637997</v>
      </c>
      <c r="Q19">
        <v>1.2</v>
      </c>
      <c r="R19">
        <f t="shared" si="12"/>
        <v>14.88229906117914</v>
      </c>
      <c r="S19">
        <f t="shared" si="3"/>
        <v>9.8994696225611225</v>
      </c>
      <c r="T19">
        <v>1.25</v>
      </c>
      <c r="U19">
        <f t="shared" si="13"/>
        <v>16.887254333478182</v>
      </c>
      <c r="W19">
        <v>665</v>
      </c>
      <c r="X19">
        <v>92</v>
      </c>
      <c r="Y19">
        <f t="shared" si="18"/>
        <v>61180</v>
      </c>
      <c r="Z19">
        <f t="shared" si="19"/>
        <v>1.4044995408631773</v>
      </c>
    </row>
    <row r="20" spans="1:26" x14ac:dyDescent="0.25">
      <c r="A20" t="s">
        <v>14</v>
      </c>
      <c r="B20">
        <f t="shared" si="7"/>
        <v>4308</v>
      </c>
      <c r="C20">
        <v>4310</v>
      </c>
      <c r="E20">
        <v>0.52</v>
      </c>
      <c r="F20" s="17">
        <f t="shared" si="8"/>
        <v>0.42029384756657484</v>
      </c>
      <c r="G20">
        <f t="shared" si="9"/>
        <v>0.40817630853994491</v>
      </c>
      <c r="H20" s="17">
        <f t="shared" si="6"/>
        <v>9.9706152433425177E-2</v>
      </c>
      <c r="I20">
        <v>5</v>
      </c>
      <c r="J20">
        <f t="shared" si="0"/>
        <v>7.2764880427313479</v>
      </c>
      <c r="K20">
        <v>1</v>
      </c>
      <c r="L20">
        <f t="shared" si="10"/>
        <v>2.9700900284171303</v>
      </c>
      <c r="M20">
        <f t="shared" si="1"/>
        <v>8.2882042507758182</v>
      </c>
      <c r="N20">
        <v>1.1000000000000001</v>
      </c>
      <c r="O20">
        <f t="shared" si="11"/>
        <v>3.7213534770574288</v>
      </c>
      <c r="P20">
        <f t="shared" si="2"/>
        <v>9.0876517826637997</v>
      </c>
      <c r="Q20">
        <v>1.2</v>
      </c>
      <c r="R20">
        <f t="shared" si="12"/>
        <v>4.4512369895329913</v>
      </c>
      <c r="S20">
        <f t="shared" si="3"/>
        <v>9.8994696225611225</v>
      </c>
      <c r="T20">
        <v>1.25</v>
      </c>
      <c r="U20">
        <f t="shared" si="13"/>
        <v>5.0509112088004011</v>
      </c>
      <c r="W20">
        <v>199</v>
      </c>
      <c r="X20">
        <v>92</v>
      </c>
      <c r="Y20">
        <f t="shared" si="18"/>
        <v>18308</v>
      </c>
      <c r="Z20">
        <f t="shared" si="19"/>
        <v>0.42029384756657484</v>
      </c>
    </row>
    <row r="21" spans="1:26" x14ac:dyDescent="0.25">
      <c r="A21" t="s">
        <v>14</v>
      </c>
      <c r="B21">
        <f t="shared" si="7"/>
        <v>4310</v>
      </c>
      <c r="C21">
        <v>4316</v>
      </c>
      <c r="E21">
        <v>1.61</v>
      </c>
      <c r="F21" s="17">
        <f t="shared" si="8"/>
        <v>1.2984123048668503</v>
      </c>
      <c r="G21">
        <f t="shared" si="9"/>
        <v>1.2620473829201102</v>
      </c>
      <c r="H21" s="17">
        <f t="shared" si="6"/>
        <v>0.31158769513314977</v>
      </c>
      <c r="I21">
        <v>5</v>
      </c>
      <c r="J21">
        <f t="shared" si="0"/>
        <v>7.2764880427313479</v>
      </c>
      <c r="K21">
        <v>1</v>
      </c>
      <c r="L21">
        <f t="shared" si="10"/>
        <v>9.1832726911785727</v>
      </c>
      <c r="M21">
        <f t="shared" si="1"/>
        <v>8.2882042507758182</v>
      </c>
      <c r="N21">
        <v>1.1000000000000001</v>
      </c>
      <c r="O21">
        <f t="shared" si="11"/>
        <v>11.506117132178851</v>
      </c>
      <c r="P21">
        <f t="shared" si="2"/>
        <v>9.0876517826637997</v>
      </c>
      <c r="Q21">
        <v>1.2</v>
      </c>
      <c r="R21">
        <f t="shared" si="12"/>
        <v>13.762856579040147</v>
      </c>
      <c r="S21">
        <f t="shared" si="3"/>
        <v>9.8994696225611225</v>
      </c>
      <c r="T21">
        <v>1.25</v>
      </c>
      <c r="U21">
        <f t="shared" si="13"/>
        <v>15.616999661812994</v>
      </c>
      <c r="W21">
        <v>614.77</v>
      </c>
      <c r="X21">
        <v>92</v>
      </c>
      <c r="Y21">
        <f t="shared" si="18"/>
        <v>56558.84</v>
      </c>
      <c r="Z21">
        <f t="shared" si="19"/>
        <v>1.2984123048668503</v>
      </c>
    </row>
    <row r="22" spans="1:26" x14ac:dyDescent="0.25">
      <c r="A22" t="s">
        <v>46</v>
      </c>
      <c r="B22">
        <v>4316</v>
      </c>
      <c r="C22">
        <v>4320</v>
      </c>
      <c r="E22">
        <v>0.89</v>
      </c>
      <c r="F22" s="17">
        <f t="shared" si="8"/>
        <v>0.71914600550964192</v>
      </c>
      <c r="G22">
        <f t="shared" si="9"/>
        <v>0.69848760330578519</v>
      </c>
      <c r="H22" s="17">
        <f t="shared" si="6"/>
        <v>0.1708539944903581</v>
      </c>
      <c r="I22">
        <v>5</v>
      </c>
      <c r="J22">
        <f t="shared" si="0"/>
        <v>7.2764880427313479</v>
      </c>
      <c r="K22">
        <v>1</v>
      </c>
      <c r="L22">
        <f t="shared" si="10"/>
        <v>5.0825366934506233</v>
      </c>
      <c r="M22">
        <f t="shared" si="1"/>
        <v>8.2882042507758182</v>
      </c>
      <c r="N22">
        <v>1.1000000000000001</v>
      </c>
      <c r="O22">
        <f t="shared" si="11"/>
        <v>6.3681287151165451</v>
      </c>
      <c r="P22">
        <f t="shared" si="2"/>
        <v>9.0876517826637997</v>
      </c>
      <c r="Q22">
        <v>1.2</v>
      </c>
      <c r="R22">
        <f t="shared" si="12"/>
        <v>7.617134536020461</v>
      </c>
      <c r="S22">
        <f t="shared" si="3"/>
        <v>9.8994696225611225</v>
      </c>
      <c r="T22">
        <v>1.25</v>
      </c>
      <c r="U22">
        <f t="shared" si="13"/>
        <v>8.64332101332643</v>
      </c>
      <c r="W22">
        <v>681</v>
      </c>
      <c r="X22">
        <v>46</v>
      </c>
      <c r="Y22">
        <f t="shared" si="18"/>
        <v>31326</v>
      </c>
      <c r="Z22">
        <f t="shared" si="19"/>
        <v>0.71914600550964192</v>
      </c>
    </row>
    <row r="23" spans="1:26" x14ac:dyDescent="0.25">
      <c r="A23" t="s">
        <v>47</v>
      </c>
      <c r="B23">
        <v>4316</v>
      </c>
      <c r="C23">
        <v>4323</v>
      </c>
      <c r="E23">
        <v>0.89</v>
      </c>
      <c r="F23" s="17">
        <f t="shared" si="8"/>
        <v>0.71914600550964192</v>
      </c>
      <c r="G23">
        <f t="shared" si="9"/>
        <v>0.69848760330578519</v>
      </c>
      <c r="H23" s="17">
        <f t="shared" si="6"/>
        <v>0.1708539944903581</v>
      </c>
      <c r="I23">
        <v>5</v>
      </c>
      <c r="J23">
        <f t="shared" si="0"/>
        <v>7.2764880427313479</v>
      </c>
      <c r="K23">
        <v>1</v>
      </c>
      <c r="L23">
        <f t="shared" si="10"/>
        <v>5.0825366934506233</v>
      </c>
      <c r="M23">
        <f t="shared" si="1"/>
        <v>8.2882042507758182</v>
      </c>
      <c r="N23">
        <v>1.1000000000000001</v>
      </c>
      <c r="O23">
        <f t="shared" si="11"/>
        <v>6.3681287151165451</v>
      </c>
      <c r="P23">
        <f t="shared" si="2"/>
        <v>9.0876517826637997</v>
      </c>
      <c r="Q23">
        <v>1.2</v>
      </c>
      <c r="R23">
        <f t="shared" si="12"/>
        <v>7.617134536020461</v>
      </c>
      <c r="S23">
        <f t="shared" si="3"/>
        <v>9.8994696225611225</v>
      </c>
      <c r="T23">
        <v>1.25</v>
      </c>
      <c r="U23">
        <f t="shared" si="13"/>
        <v>8.64332101332643</v>
      </c>
      <c r="W23">
        <v>681</v>
      </c>
      <c r="X23">
        <v>46</v>
      </c>
      <c r="Y23">
        <f t="shared" si="18"/>
        <v>31326</v>
      </c>
      <c r="Z23">
        <f t="shared" si="19"/>
        <v>0.71914600550964192</v>
      </c>
    </row>
    <row r="24" spans="1:26" x14ac:dyDescent="0.25">
      <c r="A24" t="s">
        <v>14</v>
      </c>
      <c r="B24">
        <f t="shared" ref="B24:B27" si="20">C23</f>
        <v>4323</v>
      </c>
      <c r="C24">
        <v>4324</v>
      </c>
      <c r="E24">
        <v>0.35</v>
      </c>
      <c r="F24" s="17">
        <f t="shared" si="8"/>
        <v>0.28301193755739212</v>
      </c>
      <c r="G24">
        <f t="shared" si="9"/>
        <v>0.27480716253443527</v>
      </c>
      <c r="H24" s="17">
        <f t="shared" si="6"/>
        <v>6.6988062442607854E-2</v>
      </c>
      <c r="I24">
        <v>5</v>
      </c>
      <c r="J24">
        <f t="shared" si="0"/>
        <v>7.2764880427313479</v>
      </c>
      <c r="K24">
        <v>1</v>
      </c>
      <c r="L24">
        <f t="shared" si="10"/>
        <v>1.9996310322387483</v>
      </c>
      <c r="M24">
        <f t="shared" si="1"/>
        <v>8.2882042507758182</v>
      </c>
      <c r="N24">
        <v>1.1000000000000001</v>
      </c>
      <c r="O24">
        <f t="shared" si="11"/>
        <v>2.5054236819277023</v>
      </c>
      <c r="P24">
        <f t="shared" si="2"/>
        <v>9.0876517826637997</v>
      </c>
      <c r="Q24">
        <v>1.2</v>
      </c>
      <c r="R24">
        <f t="shared" si="12"/>
        <v>2.9968221605938097</v>
      </c>
      <c r="S24">
        <f t="shared" si="3"/>
        <v>9.8994696225611225</v>
      </c>
      <c r="T24">
        <v>1.25</v>
      </c>
      <c r="U24">
        <f t="shared" si="13"/>
        <v>3.4005564469648237</v>
      </c>
      <c r="W24">
        <v>134</v>
      </c>
      <c r="X24">
        <v>92</v>
      </c>
      <c r="Y24">
        <f t="shared" si="18"/>
        <v>12328</v>
      </c>
      <c r="Z24">
        <f t="shared" si="19"/>
        <v>0.28301193755739212</v>
      </c>
    </row>
    <row r="25" spans="1:26" x14ac:dyDescent="0.25">
      <c r="A25" t="s">
        <v>14</v>
      </c>
      <c r="B25">
        <f t="shared" si="20"/>
        <v>4324</v>
      </c>
      <c r="C25">
        <v>4335</v>
      </c>
      <c r="E25">
        <v>2.87</v>
      </c>
      <c r="F25" s="17">
        <f t="shared" si="8"/>
        <v>2.3126721763085398</v>
      </c>
      <c r="G25">
        <f t="shared" si="9"/>
        <v>2.2486033057851236</v>
      </c>
      <c r="H25" s="17">
        <f t="shared" si="6"/>
        <v>0.55732782369146028</v>
      </c>
      <c r="I25">
        <v>17</v>
      </c>
      <c r="J25">
        <f t="shared" si="0"/>
        <v>5.4501442212857452</v>
      </c>
      <c r="K25">
        <v>1</v>
      </c>
      <c r="L25">
        <f>K25*J25*G25</f>
        <v>12.255212312988814</v>
      </c>
      <c r="M25">
        <f t="shared" si="1"/>
        <v>6.1515752492504721</v>
      </c>
      <c r="N25">
        <v>1.1000000000000001</v>
      </c>
      <c r="O25">
        <f t="shared" si="11"/>
        <v>15.215697685375613</v>
      </c>
      <c r="P25">
        <f t="shared" si="2"/>
        <v>6.6978741656391261</v>
      </c>
      <c r="Q25">
        <v>1.2</v>
      </c>
      <c r="R25">
        <f t="shared" si="12"/>
        <v>18.073034388706699</v>
      </c>
      <c r="S25">
        <f t="shared" si="3"/>
        <v>7.2449494372024947</v>
      </c>
      <c r="T25">
        <v>1.25</v>
      </c>
      <c r="U25">
        <f t="shared" si="13"/>
        <v>20.3637715684245</v>
      </c>
      <c r="W25">
        <v>1095</v>
      </c>
      <c r="X25">
        <v>92</v>
      </c>
      <c r="Y25">
        <f t="shared" si="18"/>
        <v>100740</v>
      </c>
      <c r="Z25">
        <f t="shared" si="19"/>
        <v>2.3126721763085398</v>
      </c>
    </row>
    <row r="26" spans="1:26" x14ac:dyDescent="0.25">
      <c r="A26" t="s">
        <v>14</v>
      </c>
      <c r="B26">
        <f t="shared" si="20"/>
        <v>4335</v>
      </c>
      <c r="C26">
        <v>4352</v>
      </c>
      <c r="E26">
        <v>4.3</v>
      </c>
      <c r="F26" s="17">
        <f t="shared" si="8"/>
        <v>3.4721763085399449</v>
      </c>
      <c r="G26">
        <f t="shared" si="9"/>
        <v>3.3733057851239669</v>
      </c>
      <c r="H26" s="17">
        <f t="shared" si="6"/>
        <v>0.82782369146005497</v>
      </c>
      <c r="I26">
        <v>15</v>
      </c>
      <c r="J26">
        <f t="shared" si="0"/>
        <v>5.6882937328982619</v>
      </c>
      <c r="K26">
        <v>1</v>
      </c>
      <c r="L26">
        <f t="shared" si="10"/>
        <v>19.188354156670112</v>
      </c>
      <c r="M26">
        <f t="shared" si="1"/>
        <v>6.4276085318591392</v>
      </c>
      <c r="N26">
        <v>1.1000000000000001</v>
      </c>
      <c r="O26">
        <f t="shared" si="11"/>
        <v>23.850517949535867</v>
      </c>
      <c r="P26">
        <f t="shared" si="2"/>
        <v>7.0044180518439605</v>
      </c>
      <c r="Q26">
        <v>1.2</v>
      </c>
      <c r="R26">
        <f t="shared" si="12"/>
        <v>28.35365272285437</v>
      </c>
      <c r="S26">
        <f t="shared" si="3"/>
        <v>7.5830218559299372</v>
      </c>
      <c r="T26">
        <v>1.25</v>
      </c>
      <c r="U26">
        <f t="shared" si="13"/>
        <v>31.97481436916242</v>
      </c>
      <c r="W26">
        <v>1644</v>
      </c>
      <c r="X26">
        <v>92</v>
      </c>
      <c r="Y26">
        <f t="shared" si="18"/>
        <v>151248</v>
      </c>
      <c r="Z26">
        <f t="shared" si="19"/>
        <v>3.4721763085399449</v>
      </c>
    </row>
    <row r="27" spans="1:26" x14ac:dyDescent="0.25">
      <c r="A27" t="s">
        <v>14</v>
      </c>
      <c r="B27">
        <f t="shared" si="20"/>
        <v>4352</v>
      </c>
      <c r="C27">
        <v>4356</v>
      </c>
      <c r="E27">
        <v>1.1499999999999999</v>
      </c>
      <c r="F27" s="17">
        <f t="shared" si="8"/>
        <v>0.92506887052341602</v>
      </c>
      <c r="G27">
        <f t="shared" ref="G27:G35" si="21">F27*0.9+(E27-F27)*0.3</f>
        <v>0.90004132231404965</v>
      </c>
      <c r="H27" s="17">
        <f t="shared" si="6"/>
        <v>0.22493112947658389</v>
      </c>
      <c r="I27">
        <v>5</v>
      </c>
      <c r="J27">
        <f t="shared" si="0"/>
        <v>7.2764880427313479</v>
      </c>
      <c r="K27">
        <v>1</v>
      </c>
      <c r="L27">
        <f t="shared" si="10"/>
        <v>6.5491399197822933</v>
      </c>
      <c r="M27">
        <f t="shared" si="1"/>
        <v>8.2882042507758182</v>
      </c>
      <c r="N27">
        <v>1.1000000000000001</v>
      </c>
      <c r="O27">
        <f t="shared" si="11"/>
        <v>8.2056989448249151</v>
      </c>
      <c r="P27">
        <f t="shared" si="2"/>
        <v>9.0876517826637997</v>
      </c>
      <c r="Q27">
        <v>1.2</v>
      </c>
      <c r="R27">
        <f t="shared" si="12"/>
        <v>9.815114552638029</v>
      </c>
      <c r="S27">
        <f t="shared" si="3"/>
        <v>9.8994696225611225</v>
      </c>
      <c r="T27">
        <v>1.25</v>
      </c>
      <c r="U27">
        <f t="shared" si="13"/>
        <v>11.137414661622097</v>
      </c>
      <c r="W27">
        <v>438</v>
      </c>
      <c r="X27">
        <v>92</v>
      </c>
      <c r="Y27">
        <f t="shared" si="18"/>
        <v>40296</v>
      </c>
      <c r="Z27">
        <f t="shared" si="19"/>
        <v>0.92506887052341602</v>
      </c>
    </row>
    <row r="28" spans="1:26" x14ac:dyDescent="0.25">
      <c r="B28" t="s">
        <v>30</v>
      </c>
      <c r="E28">
        <v>5.89</v>
      </c>
      <c r="F28" s="17">
        <v>0.89300000000000002</v>
      </c>
      <c r="G28">
        <f t="shared" si="21"/>
        <v>2.3028</v>
      </c>
      <c r="H28" s="17">
        <f t="shared" si="6"/>
        <v>4.9969999999999999</v>
      </c>
      <c r="I28">
        <v>16</v>
      </c>
      <c r="J28">
        <f t="shared" si="0"/>
        <v>5.5666820761190863</v>
      </c>
      <c r="K28">
        <v>1</v>
      </c>
      <c r="L28">
        <f t="shared" ref="L28:L29" si="22">K28*J28*G28</f>
        <v>12.818955484887031</v>
      </c>
      <c r="M28">
        <f t="shared" si="1"/>
        <v>6.2865573285921874</v>
      </c>
      <c r="N28">
        <v>1.1000000000000001</v>
      </c>
      <c r="O28">
        <f t="shared" ref="O28:O29" si="23">N28*M28*G28</f>
        <v>15.9243526379103</v>
      </c>
      <c r="P28">
        <f t="shared" si="2"/>
        <v>6.847696740137482</v>
      </c>
      <c r="Q28">
        <v>1.2</v>
      </c>
      <c r="R28">
        <f t="shared" ref="R28:R29" si="24">Q28*P28*G28</f>
        <v>18.92265126382631</v>
      </c>
      <c r="S28">
        <f t="shared" si="3"/>
        <v>7.4100943163427635</v>
      </c>
      <c r="T28">
        <v>1.25</v>
      </c>
      <c r="U28">
        <f t="shared" ref="U28:U29" si="25">T28*S28*G28</f>
        <v>21.329956489592643</v>
      </c>
    </row>
    <row r="29" spans="1:26" x14ac:dyDescent="0.25">
      <c r="A29" t="s">
        <v>43</v>
      </c>
      <c r="B29" t="s">
        <v>31</v>
      </c>
      <c r="E29">
        <v>1.55</v>
      </c>
      <c r="F29" s="17">
        <v>0.24579999999999999</v>
      </c>
      <c r="G29">
        <f t="shared" si="21"/>
        <v>0.61248000000000002</v>
      </c>
      <c r="H29" s="17">
        <f t="shared" si="6"/>
        <v>1.3042</v>
      </c>
      <c r="I29">
        <v>5</v>
      </c>
      <c r="J29">
        <f t="shared" si="0"/>
        <v>7.2764880427313479</v>
      </c>
      <c r="K29">
        <v>1</v>
      </c>
      <c r="L29">
        <f t="shared" si="22"/>
        <v>4.4567033964120961</v>
      </c>
      <c r="M29">
        <f t="shared" si="1"/>
        <v>8.2882042507758182</v>
      </c>
      <c r="N29">
        <v>1.1000000000000001</v>
      </c>
      <c r="O29">
        <f t="shared" si="23"/>
        <v>5.5839952734666909</v>
      </c>
      <c r="P29">
        <f t="shared" si="2"/>
        <v>9.0876517826637997</v>
      </c>
      <c r="Q29">
        <v>1.2</v>
      </c>
      <c r="R29">
        <f t="shared" si="24"/>
        <v>6.6792059566151094</v>
      </c>
      <c r="S29">
        <f t="shared" si="3"/>
        <v>9.8994696225611225</v>
      </c>
      <c r="T29">
        <v>1.25</v>
      </c>
      <c r="U29">
        <f t="shared" si="25"/>
        <v>7.5790339430327958</v>
      </c>
    </row>
    <row r="30" spans="1:26" x14ac:dyDescent="0.25">
      <c r="B30" t="s">
        <v>32</v>
      </c>
      <c r="E30">
        <v>7.41</v>
      </c>
      <c r="F30" s="17">
        <v>2.0274000000000001</v>
      </c>
      <c r="G30">
        <f t="shared" si="21"/>
        <v>3.4394400000000003</v>
      </c>
      <c r="H30" s="17">
        <f t="shared" si="6"/>
        <v>5.3826000000000001</v>
      </c>
      <c r="I30">
        <v>26</v>
      </c>
      <c r="J30">
        <f t="shared" si="0"/>
        <v>4.5855530072594313</v>
      </c>
      <c r="K30">
        <v>1</v>
      </c>
      <c r="L30">
        <f t="shared" ref="L30" si="26">K30*J30*G30</f>
        <v>15.77173443528838</v>
      </c>
      <c r="M30">
        <f t="shared" si="1"/>
        <v>5.1556728214987784</v>
      </c>
      <c r="N30">
        <v>1.1000000000000001</v>
      </c>
      <c r="O30">
        <f t="shared" ref="O30" si="27">N30*M30*G30</f>
        <v>19.505890062093339</v>
      </c>
      <c r="P30">
        <f t="shared" si="2"/>
        <v>5.5970899055977874</v>
      </c>
      <c r="Q30">
        <v>1.2</v>
      </c>
      <c r="R30">
        <f t="shared" ref="R30" si="28">Q30*P30*G30</f>
        <v>23.101025885891108</v>
      </c>
      <c r="S30">
        <f t="shared" si="3"/>
        <v>6.0366070678510537</v>
      </c>
      <c r="T30">
        <v>1.25</v>
      </c>
      <c r="U30">
        <f t="shared" ref="U30" si="29">T30*S30*G30</f>
        <v>25.953184766812036</v>
      </c>
    </row>
    <row r="31" spans="1:26" x14ac:dyDescent="0.25">
      <c r="B31" t="s">
        <v>33</v>
      </c>
      <c r="E31">
        <f>9.48-E42</f>
        <v>6.9337</v>
      </c>
      <c r="F31" s="17">
        <f>1.17-F42</f>
        <v>0.34260000000000002</v>
      </c>
      <c r="G31">
        <f t="shared" si="21"/>
        <v>2.2856699999999996</v>
      </c>
      <c r="H31" s="17">
        <f>E31-F31</f>
        <v>6.5911</v>
      </c>
      <c r="I31">
        <v>20</v>
      </c>
      <c r="J31">
        <f t="shared" si="0"/>
        <v>5.1279883252709775</v>
      </c>
      <c r="K31">
        <v>1</v>
      </c>
      <c r="L31">
        <f t="shared" ref="L31:L33" si="30">K31*J31*G31</f>
        <v>11.720889075422113</v>
      </c>
      <c r="M31">
        <f t="shared" si="1"/>
        <v>5.7793620017604477</v>
      </c>
      <c r="N31">
        <v>1.1000000000000001</v>
      </c>
      <c r="O31">
        <f t="shared" ref="O31:O33" si="31">N31*M31*G31</f>
        <v>14.53068578122018</v>
      </c>
      <c r="P31">
        <f t="shared" si="2"/>
        <v>6.2855184586943942</v>
      </c>
      <c r="Q31">
        <v>1.2</v>
      </c>
      <c r="R31">
        <f t="shared" ref="R31:R33" si="32">Q31*P31*G31</f>
        <v>17.239945170580814</v>
      </c>
      <c r="S31">
        <f t="shared" si="3"/>
        <v>6.7912753059186723</v>
      </c>
      <c r="T31">
        <v>1.25</v>
      </c>
      <c r="U31">
        <f t="shared" ref="U31:U33" si="33">T31*S31*G31</f>
        <v>19.403267785598914</v>
      </c>
    </row>
    <row r="32" spans="1:26" x14ac:dyDescent="0.25">
      <c r="B32" t="s">
        <v>34</v>
      </c>
      <c r="E32">
        <f>17.67-E17</f>
        <v>16.060000000000002</v>
      </c>
      <c r="F32" s="17">
        <v>4.4618000000000002</v>
      </c>
      <c r="G32">
        <f t="shared" si="21"/>
        <v>7.4950800000000006</v>
      </c>
      <c r="H32" s="17">
        <f t="shared" si="6"/>
        <v>11.598200000000002</v>
      </c>
      <c r="I32">
        <v>50</v>
      </c>
      <c r="J32">
        <f t="shared" si="0"/>
        <v>3.2205453371169304</v>
      </c>
      <c r="K32">
        <v>1</v>
      </c>
      <c r="L32">
        <f t="shared" si="30"/>
        <v>24.138244945318366</v>
      </c>
      <c r="M32">
        <f t="shared" si="1"/>
        <v>3.6022226110961744</v>
      </c>
      <c r="N32">
        <v>1.1000000000000001</v>
      </c>
      <c r="O32">
        <f t="shared" si="31"/>
        <v>29.698841312772192</v>
      </c>
      <c r="P32">
        <f t="shared" si="2"/>
        <v>3.8955061626469991</v>
      </c>
      <c r="Q32">
        <v>1.2</v>
      </c>
      <c r="R32">
        <f t="shared" si="32"/>
        <v>35.03655639543873</v>
      </c>
      <c r="S32">
        <f t="shared" si="3"/>
        <v>4.1853332192973607</v>
      </c>
      <c r="T32">
        <v>1.25</v>
      </c>
      <c r="U32">
        <f t="shared" si="33"/>
        <v>39.211759131614087</v>
      </c>
    </row>
    <row r="33" spans="1:25" x14ac:dyDescent="0.25">
      <c r="B33" t="s">
        <v>35</v>
      </c>
      <c r="E33">
        <v>8.99</v>
      </c>
      <c r="F33" s="17">
        <v>2.5144000000000002</v>
      </c>
      <c r="G33">
        <f t="shared" si="21"/>
        <v>4.2056399999999998</v>
      </c>
      <c r="H33" s="17">
        <f t="shared" si="6"/>
        <v>6.4756</v>
      </c>
      <c r="I33">
        <v>34</v>
      </c>
      <c r="J33">
        <f t="shared" si="0"/>
        <v>4.0183207498335092</v>
      </c>
      <c r="K33">
        <v>1</v>
      </c>
      <c r="L33">
        <f t="shared" si="30"/>
        <v>16.899610478329798</v>
      </c>
      <c r="M33">
        <f t="shared" si="1"/>
        <v>4.5074239393386906</v>
      </c>
      <c r="N33">
        <v>1.1000000000000001</v>
      </c>
      <c r="O33">
        <f t="shared" si="31"/>
        <v>20.852262657864408</v>
      </c>
      <c r="P33">
        <f t="shared" si="2"/>
        <v>4.8848110761296626</v>
      </c>
      <c r="Q33">
        <v>1.2</v>
      </c>
      <c r="R33">
        <f t="shared" si="32"/>
        <v>24.652508225056742</v>
      </c>
      <c r="S33">
        <f t="shared" si="3"/>
        <v>5.2593026652178967</v>
      </c>
      <c r="T33">
        <v>1.25</v>
      </c>
      <c r="U33">
        <f t="shared" si="33"/>
        <v>27.64841707618374</v>
      </c>
    </row>
    <row r="34" spans="1:25" x14ac:dyDescent="0.25">
      <c r="B34" t="s">
        <v>84</v>
      </c>
      <c r="E34">
        <v>0.94</v>
      </c>
      <c r="F34" s="17">
        <v>0.19889999999999999</v>
      </c>
      <c r="G34">
        <f t="shared" si="21"/>
        <v>0.40134000000000003</v>
      </c>
      <c r="H34" s="17">
        <f t="shared" si="6"/>
        <v>0.74109999999999998</v>
      </c>
    </row>
    <row r="35" spans="1:25" x14ac:dyDescent="0.25">
      <c r="A35" t="s">
        <v>37</v>
      </c>
      <c r="B35" t="s">
        <v>36</v>
      </c>
      <c r="E35">
        <f>15.45-E15-E16-E18-E19</f>
        <v>10.16</v>
      </c>
      <c r="F35" s="17">
        <v>3.89</v>
      </c>
      <c r="G35">
        <f t="shared" si="21"/>
        <v>5.3819999999999997</v>
      </c>
      <c r="H35" s="17">
        <f t="shared" si="6"/>
        <v>6.27</v>
      </c>
      <c r="I35">
        <f>0.406*60</f>
        <v>24.360000000000003</v>
      </c>
      <c r="J35">
        <f t="shared" si="0"/>
        <v>4.722122837149981</v>
      </c>
      <c r="K35">
        <v>1</v>
      </c>
      <c r="L35">
        <f t="shared" ref="L35:L39" si="34">K35*J35*G35</f>
        <v>25.414465109541197</v>
      </c>
      <c r="M35">
        <f t="shared" si="1"/>
        <v>5.3123468013869601</v>
      </c>
      <c r="N35">
        <v>1.1000000000000001</v>
      </c>
      <c r="O35">
        <f t="shared" ref="O35:O39" si="35">N35*M35*G35</f>
        <v>31.450155533571085</v>
      </c>
      <c r="P35">
        <f t="shared" si="2"/>
        <v>5.7697333532397224</v>
      </c>
      <c r="Q35">
        <v>1.2</v>
      </c>
      <c r="R35">
        <f t="shared" ref="R35:R39" si="36">Q35*P35*G35</f>
        <v>37.263245888563425</v>
      </c>
      <c r="S35">
        <f t="shared" si="3"/>
        <v>6.2255442467190818</v>
      </c>
      <c r="T35">
        <v>1.25</v>
      </c>
      <c r="U35">
        <f t="shared" ref="U35:U39" si="37">T35*S35*G35</f>
        <v>41.882348919802624</v>
      </c>
    </row>
    <row r="36" spans="1:25" x14ac:dyDescent="0.25">
      <c r="B36" t="s">
        <v>38</v>
      </c>
      <c r="E36">
        <v>70.290000000000006</v>
      </c>
      <c r="F36" s="17">
        <v>3.6150000000000002</v>
      </c>
      <c r="G36" s="10">
        <f>F36*0.9+(E36-F36)*0.1</f>
        <v>9.9210000000000012</v>
      </c>
      <c r="H36" s="17">
        <f t="shared" si="6"/>
        <v>66.675000000000011</v>
      </c>
      <c r="I36">
        <f>1.383*60</f>
        <v>82.98</v>
      </c>
      <c r="J36">
        <f t="shared" si="0"/>
        <v>2.2839673698071761</v>
      </c>
      <c r="K36">
        <v>1</v>
      </c>
      <c r="L36">
        <f t="shared" si="34"/>
        <v>22.659240275856998</v>
      </c>
      <c r="M36">
        <f t="shared" si="1"/>
        <v>2.5484874286896297</v>
      </c>
      <c r="N36">
        <v>1.1000000000000001</v>
      </c>
      <c r="O36">
        <f t="shared" si="35"/>
        <v>27.811898158032804</v>
      </c>
      <c r="P36">
        <f t="shared" si="2"/>
        <v>2.7510549820237573</v>
      </c>
      <c r="Q36">
        <v>1.2</v>
      </c>
      <c r="R36">
        <f t="shared" si="36"/>
        <v>32.751859771989238</v>
      </c>
      <c r="S36">
        <f t="shared" si="3"/>
        <v>2.950505358016982</v>
      </c>
      <c r="T36">
        <v>1.25</v>
      </c>
      <c r="U36">
        <f t="shared" si="37"/>
        <v>36.589954571108102</v>
      </c>
    </row>
    <row r="37" spans="1:25" x14ac:dyDescent="0.25">
      <c r="A37" t="s">
        <v>39</v>
      </c>
      <c r="B37">
        <v>4352</v>
      </c>
      <c r="C37">
        <v>4356</v>
      </c>
      <c r="E37">
        <v>2.4645999999999999</v>
      </c>
      <c r="F37" s="17">
        <v>0.5</v>
      </c>
      <c r="G37">
        <f t="shared" ref="G37:G38" si="38">F37*0.9+(E37-F37)*0.3</f>
        <v>1.03938</v>
      </c>
      <c r="H37" s="17">
        <f t="shared" si="6"/>
        <v>1.9645999999999999</v>
      </c>
      <c r="I37">
        <v>5</v>
      </c>
      <c r="J37">
        <f t="shared" si="0"/>
        <v>7.2764880427313479</v>
      </c>
      <c r="K37">
        <v>1</v>
      </c>
      <c r="L37">
        <f t="shared" si="34"/>
        <v>7.5630361418541083</v>
      </c>
      <c r="M37">
        <f t="shared" si="1"/>
        <v>8.2882042507758182</v>
      </c>
      <c r="N37">
        <v>1.1000000000000001</v>
      </c>
      <c r="O37">
        <f t="shared" si="35"/>
        <v>9.4760531075885073</v>
      </c>
      <c r="P37">
        <f t="shared" si="2"/>
        <v>9.0876517826637997</v>
      </c>
      <c r="Q37">
        <v>1.2</v>
      </c>
      <c r="R37">
        <f t="shared" si="36"/>
        <v>11.334628211838121</v>
      </c>
      <c r="S37">
        <f t="shared" si="3"/>
        <v>9.8994696225611225</v>
      </c>
      <c r="T37">
        <v>1.25</v>
      </c>
      <c r="U37">
        <f t="shared" si="37"/>
        <v>12.861638420371973</v>
      </c>
    </row>
    <row r="38" spans="1:25" x14ac:dyDescent="0.25">
      <c r="A38" t="s">
        <v>40</v>
      </c>
      <c r="B38">
        <v>4352</v>
      </c>
      <c r="C38">
        <v>4356</v>
      </c>
      <c r="E38">
        <v>2.94</v>
      </c>
      <c r="F38" s="17">
        <v>0.5</v>
      </c>
      <c r="G38">
        <f t="shared" si="38"/>
        <v>1.1819999999999999</v>
      </c>
      <c r="H38" s="17">
        <f t="shared" si="6"/>
        <v>2.44</v>
      </c>
      <c r="I38">
        <v>5</v>
      </c>
      <c r="J38">
        <f t="shared" si="0"/>
        <v>7.2764880427313479</v>
      </c>
      <c r="K38">
        <v>1</v>
      </c>
      <c r="L38">
        <f t="shared" si="34"/>
        <v>8.6008088665084532</v>
      </c>
      <c r="M38">
        <f t="shared" si="1"/>
        <v>8.2882042507758182</v>
      </c>
      <c r="N38">
        <v>1.1000000000000001</v>
      </c>
      <c r="O38">
        <f t="shared" si="35"/>
        <v>10.776323166858718</v>
      </c>
      <c r="P38">
        <f t="shared" si="2"/>
        <v>9.0876517826637997</v>
      </c>
      <c r="Q38">
        <v>1.2</v>
      </c>
      <c r="R38">
        <f t="shared" si="36"/>
        <v>12.889925288530334</v>
      </c>
      <c r="S38">
        <f t="shared" si="3"/>
        <v>9.8994696225611225</v>
      </c>
      <c r="T38">
        <v>1.25</v>
      </c>
      <c r="U38">
        <f t="shared" si="37"/>
        <v>14.626466367334057</v>
      </c>
    </row>
    <row r="39" spans="1:25" x14ac:dyDescent="0.25">
      <c r="B39" t="s">
        <v>41</v>
      </c>
      <c r="C39" t="s">
        <v>42</v>
      </c>
      <c r="E39">
        <v>43.357700000000001</v>
      </c>
      <c r="F39" s="17">
        <v>1.44</v>
      </c>
      <c r="G39" s="10">
        <f>F39*0.9+(E39-F39)*0.1</f>
        <v>5.4877700000000011</v>
      </c>
      <c r="H39" s="17">
        <f t="shared" si="6"/>
        <v>41.917700000000004</v>
      </c>
      <c r="I39">
        <v>62</v>
      </c>
      <c r="J39">
        <f t="shared" si="0"/>
        <v>2.8026954609863979</v>
      </c>
      <c r="K39">
        <v>1</v>
      </c>
      <c r="L39">
        <f t="shared" si="34"/>
        <v>15.380548069937328</v>
      </c>
      <c r="M39">
        <f t="shared" si="1"/>
        <v>3.1309743740122693</v>
      </c>
      <c r="N39">
        <v>1.1000000000000001</v>
      </c>
      <c r="O39">
        <f t="shared" si="35"/>
        <v>18.900273964520647</v>
      </c>
      <c r="P39">
        <f t="shared" si="2"/>
        <v>3.3827849060504285</v>
      </c>
      <c r="Q39">
        <v>1.2</v>
      </c>
      <c r="R39">
        <f t="shared" si="36"/>
        <v>22.276734628651635</v>
      </c>
      <c r="S39">
        <f t="shared" si="3"/>
        <v>3.631174333038528</v>
      </c>
      <c r="T39">
        <v>1.25</v>
      </c>
      <c r="U39">
        <f t="shared" si="37"/>
        <v>24.90881196202356</v>
      </c>
    </row>
    <row r="40" spans="1:25" x14ac:dyDescent="0.25">
      <c r="A40" t="s">
        <v>44</v>
      </c>
      <c r="B40" t="s">
        <v>31</v>
      </c>
      <c r="E40">
        <v>24.12</v>
      </c>
      <c r="F40" s="17">
        <v>0.82</v>
      </c>
      <c r="G40" s="10">
        <f>F40*0.9+(E40-F40)*0.1</f>
        <v>3.0680000000000001</v>
      </c>
      <c r="H40" s="17">
        <f>E40-F40</f>
        <v>23.3</v>
      </c>
      <c r="I40">
        <f>1.103*60</f>
        <v>66.179999999999993</v>
      </c>
      <c r="J40">
        <f t="shared" si="0"/>
        <v>2.6814319161120563</v>
      </c>
      <c r="K40">
        <v>1</v>
      </c>
      <c r="L40">
        <f t="shared" ref="L40" si="39">K40*J40*G40</f>
        <v>8.2266331186317885</v>
      </c>
      <c r="M40">
        <f t="shared" si="1"/>
        <v>2.9945625984021031</v>
      </c>
      <c r="N40">
        <v>1.1000000000000001</v>
      </c>
      <c r="O40">
        <f t="shared" ref="O40" si="40">N40*M40*G40</f>
        <v>10.106049857087418</v>
      </c>
      <c r="P40">
        <f t="shared" si="2"/>
        <v>3.2346469604520989</v>
      </c>
      <c r="Q40">
        <v>1.2</v>
      </c>
      <c r="R40">
        <f t="shared" ref="R40" si="41">Q40*P40*G40</f>
        <v>11.908676249600447</v>
      </c>
      <c r="S40">
        <f t="shared" si="3"/>
        <v>3.4713571223456245</v>
      </c>
      <c r="T40">
        <v>1.25</v>
      </c>
      <c r="U40">
        <f t="shared" ref="U40" si="42">T40*S40*G40</f>
        <v>13.312654564195469</v>
      </c>
    </row>
    <row r="41" spans="1:25" x14ac:dyDescent="0.25">
      <c r="A41" t="s">
        <v>44</v>
      </c>
      <c r="B41" t="s">
        <v>45</v>
      </c>
      <c r="C41" t="s">
        <v>42</v>
      </c>
      <c r="E41">
        <f>401.14-E12-E13-E14</f>
        <v>397.73</v>
      </c>
      <c r="F41" s="17">
        <v>2.41</v>
      </c>
      <c r="G41" s="10">
        <f>F41*0.9+(E41-F41)*0.1</f>
        <v>41.701000000000001</v>
      </c>
      <c r="H41" s="17">
        <f t="shared" si="6"/>
        <v>395.32</v>
      </c>
      <c r="I41">
        <f>4.357*60</f>
        <v>261.42</v>
      </c>
      <c r="J41">
        <f t="shared" si="0"/>
        <v>0.88477893255967754</v>
      </c>
      <c r="K41">
        <v>1</v>
      </c>
      <c r="L41">
        <f t="shared" ref="L41" si="43">K41*J41*G41</f>
        <v>36.896166266671116</v>
      </c>
      <c r="M41">
        <f t="shared" si="1"/>
        <v>0.98844318780596352</v>
      </c>
      <c r="N41">
        <v>1.1000000000000001</v>
      </c>
      <c r="O41">
        <f t="shared" ref="O41" si="44">N41*M41*G41</f>
        <v>45.340976312166134</v>
      </c>
      <c r="P41">
        <f t="shared" si="2"/>
        <v>1.0678936024820138</v>
      </c>
      <c r="Q41">
        <v>1.2</v>
      </c>
      <c r="R41">
        <f t="shared" ref="R41" si="45">Q41*P41*G41</f>
        <v>53.43867734052295</v>
      </c>
      <c r="S41">
        <f t="shared" si="3"/>
        <v>1.1460803396462134</v>
      </c>
      <c r="T41">
        <v>1.25</v>
      </c>
      <c r="U41">
        <f t="shared" ref="U41" si="46">T41*S41*G41</f>
        <v>59.740870304483423</v>
      </c>
    </row>
    <row r="42" spans="1:25" x14ac:dyDescent="0.25">
      <c r="A42" t="s">
        <v>39</v>
      </c>
      <c r="B42">
        <v>4320</v>
      </c>
      <c r="C42">
        <v>4332</v>
      </c>
      <c r="E42">
        <v>2.5463</v>
      </c>
      <c r="F42">
        <f>E42-H42</f>
        <v>0.82739999999999991</v>
      </c>
      <c r="G42">
        <f t="shared" ref="G42" si="47">F42*0.9+(E42-F42)*0.3</f>
        <v>1.26033</v>
      </c>
      <c r="H42">
        <v>1.7189000000000001</v>
      </c>
      <c r="I42">
        <v>5</v>
      </c>
      <c r="J42">
        <f t="shared" ref="J42" si="48">$E$4/($F$4+I42)^$G$4</f>
        <v>7.2764880427313479</v>
      </c>
      <c r="K42">
        <v>1</v>
      </c>
      <c r="L42">
        <f t="shared" ref="L42" si="49">K42*J42*G42</f>
        <v>9.1707761748955985</v>
      </c>
      <c r="M42">
        <f t="shared" ref="M42" si="50">$E$5/($F$5+I42)^$G$5</f>
        <v>8.2882042507758182</v>
      </c>
      <c r="N42">
        <v>1.1000000000000001</v>
      </c>
      <c r="O42">
        <f t="shared" ref="O42" si="51">N42*M42*G42</f>
        <v>11.490459709718316</v>
      </c>
      <c r="P42">
        <f t="shared" ref="P42" si="52">$E$6/($F$6+I42)^$G$6</f>
        <v>9.0876517826637997</v>
      </c>
      <c r="Q42">
        <v>1.2</v>
      </c>
      <c r="R42">
        <f t="shared" ref="R42" si="53">Q42*P42*G42</f>
        <v>13.744128205493601</v>
      </c>
      <c r="S42">
        <f t="shared" ref="S42" si="54">$E$7/($F$7+I42)^$G$7</f>
        <v>9.8994696225611225</v>
      </c>
      <c r="T42">
        <v>1.25</v>
      </c>
      <c r="U42">
        <f t="shared" ref="U42" si="55">T42*S42*G42</f>
        <v>15.595748186753074</v>
      </c>
    </row>
    <row r="43" spans="1:25" x14ac:dyDescent="0.25">
      <c r="A43" t="s">
        <v>55</v>
      </c>
      <c r="B43" t="s">
        <v>49</v>
      </c>
      <c r="C43">
        <v>4353</v>
      </c>
      <c r="E43">
        <f>E38+E27</f>
        <v>4.09</v>
      </c>
      <c r="F43">
        <f>F38+F27</f>
        <v>1.425068870523416</v>
      </c>
      <c r="G43">
        <f>G38+G27</f>
        <v>2.0820413223140495</v>
      </c>
      <c r="H43">
        <f>H38+H27</f>
        <v>2.6649311294765838</v>
      </c>
      <c r="I43">
        <v>5</v>
      </c>
      <c r="J43">
        <f t="shared" ref="J43" si="56">$E$4/($F$4+I43)^$G$4</f>
        <v>7.2764880427313479</v>
      </c>
      <c r="K43">
        <v>1</v>
      </c>
      <c r="L43">
        <f t="shared" ref="L43" si="57">K43*J43*G43</f>
        <v>15.149948786290745</v>
      </c>
      <c r="M43">
        <f t="shared" ref="M43" si="58">$E$5/($F$5+I43)^$G$5</f>
        <v>8.2882042507758182</v>
      </c>
      <c r="N43">
        <v>1.1000000000000001</v>
      </c>
      <c r="O43">
        <f t="shared" ref="O43" si="59">N43*M43*G43</f>
        <v>18.982022111683634</v>
      </c>
      <c r="P43">
        <f t="shared" ref="P43" si="60">$E$6/($F$6+I43)^$G$6</f>
        <v>9.0876517826637997</v>
      </c>
      <c r="Q43">
        <v>1.2</v>
      </c>
      <c r="R43">
        <f t="shared" ref="R43" si="61">Q43*P43*G43</f>
        <v>22.705039841168361</v>
      </c>
      <c r="S43">
        <f t="shared" ref="S43" si="62">$E$7/($F$7+I43)^$G$7</f>
        <v>9.8994696225611225</v>
      </c>
      <c r="T43">
        <v>1.25</v>
      </c>
      <c r="U43">
        <f t="shared" ref="U43" si="63">T43*S43*G43</f>
        <v>25.763881028956153</v>
      </c>
    </row>
    <row r="44" spans="1:25" x14ac:dyDescent="0.25">
      <c r="A44" t="s">
        <v>144</v>
      </c>
      <c r="B44">
        <v>4320</v>
      </c>
      <c r="C44">
        <v>4332</v>
      </c>
      <c r="E44">
        <f>E42+E24</f>
        <v>2.8963000000000001</v>
      </c>
      <c r="F44">
        <f>F42+F24</f>
        <v>1.110411937557392</v>
      </c>
      <c r="G44">
        <f>G42+G24</f>
        <v>1.5351371625344352</v>
      </c>
      <c r="H44">
        <f>H42+H24</f>
        <v>1.7858880624426079</v>
      </c>
      <c r="I44">
        <v>5</v>
      </c>
      <c r="J44">
        <f t="shared" ref="J44" si="64">$E$4/($F$4+I44)^$G$4</f>
        <v>7.2764880427313479</v>
      </c>
      <c r="K44">
        <v>1</v>
      </c>
      <c r="L44">
        <f t="shared" ref="L44" si="65">K44*J44*G44</f>
        <v>11.170407207134348</v>
      </c>
      <c r="M44">
        <f t="shared" ref="M44" si="66">$E$5/($F$5+I44)^$G$5</f>
        <v>8.2882042507758182</v>
      </c>
      <c r="N44">
        <v>1.1000000000000001</v>
      </c>
      <c r="O44">
        <f t="shared" ref="O44" si="67">N44*M44*G44</f>
        <v>13.995883391646018</v>
      </c>
      <c r="P44">
        <f t="shared" ref="P44" si="68">$E$6/($F$6+I44)^$G$6</f>
        <v>9.0876517826637997</v>
      </c>
      <c r="Q44">
        <v>1.2</v>
      </c>
      <c r="R44">
        <f t="shared" ref="R44" si="69">Q44*P44*G44</f>
        <v>16.740950366087411</v>
      </c>
      <c r="S44">
        <f t="shared" ref="S44" si="70">$E$7/($F$7+I44)^$G$7</f>
        <v>9.8994696225611225</v>
      </c>
      <c r="T44">
        <v>1.25</v>
      </c>
      <c r="U44">
        <f t="shared" ref="U44" si="71">T44*S44*G44</f>
        <v>18.996304633717898</v>
      </c>
      <c r="V44" t="s">
        <v>63</v>
      </c>
    </row>
    <row r="45" spans="1:25" x14ac:dyDescent="0.25">
      <c r="A45" t="s">
        <v>48</v>
      </c>
      <c r="V45" t="s">
        <v>64</v>
      </c>
      <c r="W45" t="s">
        <v>65</v>
      </c>
      <c r="X45" t="s">
        <v>66</v>
      </c>
      <c r="Y45" t="s">
        <v>62</v>
      </c>
    </row>
    <row r="46" spans="1:25" s="11" customFormat="1" x14ac:dyDescent="0.25">
      <c r="A46" s="11" t="s">
        <v>54</v>
      </c>
      <c r="B46" s="11" t="s">
        <v>49</v>
      </c>
      <c r="C46" s="11" t="s">
        <v>50</v>
      </c>
      <c r="D46" s="11" t="s">
        <v>53</v>
      </c>
      <c r="E46" s="11">
        <f>E41+E12+E13+E14+E17+E32+E20+E21+E40+E23+E25+E33+E39</f>
        <v>501.16770000000002</v>
      </c>
      <c r="F46" s="11">
        <f>F41+F12+F13+F14+F17+F32+F20+F21+F40+F23+F25+F33+F39</f>
        <v>20.450469054178146</v>
      </c>
      <c r="G46" s="11">
        <f>G41+G12+G13+G14+G17+G32+G20+G21+G40+G23+G25+G33+G39</f>
        <v>70.513051432506884</v>
      </c>
      <c r="H46" s="17">
        <f t="shared" ref="H46:H64" si="72">E46-F46</f>
        <v>480.71723094582188</v>
      </c>
      <c r="I46" s="11">
        <f>4.357*60</f>
        <v>261.42</v>
      </c>
      <c r="J46">
        <f t="shared" ref="J46:J48" si="73">$E$4/($F$4+I46)^$G$4</f>
        <v>0.88477893255967754</v>
      </c>
      <c r="K46" s="11">
        <v>1</v>
      </c>
      <c r="L46" s="15">
        <f t="shared" ref="L46:L48" si="74">K46*J46*G46</f>
        <v>62.388462377979081</v>
      </c>
      <c r="M46">
        <f t="shared" ref="M46:M48" si="75">$E$5/($F$5+I46)^$G$5</f>
        <v>0.98844318780596352</v>
      </c>
      <c r="N46" s="11">
        <v>1.1000000000000001</v>
      </c>
      <c r="O46" s="16">
        <f t="shared" ref="O46:O48" si="76">N46*M46*G46</f>
        <v>76.667959873860269</v>
      </c>
      <c r="P46">
        <f t="shared" ref="P46:P48" si="77">$E$6/($F$6+I46)^$G$6</f>
        <v>1.0678936024820138</v>
      </c>
      <c r="Q46" s="11">
        <v>1.2</v>
      </c>
      <c r="R46" s="13">
        <f t="shared" ref="R46:R48" si="78">Q46*P46*G46</f>
        <v>90.360523819511158</v>
      </c>
      <c r="S46" s="11">
        <f t="shared" ref="S46" si="79">$E$7/($F$7+$G$7*I46)^$G$7</f>
        <v>1.1658076295754882</v>
      </c>
      <c r="T46" s="11">
        <v>1.25</v>
      </c>
      <c r="U46" s="12">
        <f t="shared" ref="U46:U48" si="80">T46*S46*G46</f>
        <v>102.75581668083166</v>
      </c>
      <c r="W46" s="14">
        <v>3.9279999999999999</v>
      </c>
      <c r="X46" s="14"/>
    </row>
    <row r="47" spans="1:25" s="11" customFormat="1" x14ac:dyDescent="0.25">
      <c r="A47" s="11" t="s">
        <v>54</v>
      </c>
      <c r="B47" s="11" t="s">
        <v>68</v>
      </c>
      <c r="C47" s="11" t="s">
        <v>69</v>
      </c>
      <c r="D47" s="11" t="s">
        <v>52</v>
      </c>
      <c r="E47" s="11">
        <f>E48</f>
        <v>100.02770000000001</v>
      </c>
      <c r="F47" s="11">
        <f t="shared" ref="F47:U47" si="81">F48</f>
        <v>15.286382736455467</v>
      </c>
      <c r="G47" s="11">
        <f t="shared" si="81"/>
        <v>26.136599641873275</v>
      </c>
      <c r="H47" s="17">
        <f t="shared" si="72"/>
        <v>84.741317263544545</v>
      </c>
      <c r="I47" s="11">
        <f t="shared" si="81"/>
        <v>76.61999999999999</v>
      </c>
      <c r="J47" s="11">
        <f t="shared" si="81"/>
        <v>2.4198023658282146</v>
      </c>
      <c r="K47" s="11">
        <f t="shared" si="81"/>
        <v>1</v>
      </c>
      <c r="L47" s="11">
        <f t="shared" si="81"/>
        <v>63.245405648109816</v>
      </c>
      <c r="M47" s="11">
        <f t="shared" si="81"/>
        <v>2.7007605814991353</v>
      </c>
      <c r="N47" s="11">
        <f t="shared" si="81"/>
        <v>1.1000000000000001</v>
      </c>
      <c r="O47" s="11">
        <f t="shared" si="81"/>
        <v>77.64756785191534</v>
      </c>
      <c r="P47" s="11">
        <f t="shared" si="81"/>
        <v>2.9159959866119505</v>
      </c>
      <c r="Q47" s="11">
        <f t="shared" si="81"/>
        <v>1.2</v>
      </c>
      <c r="R47" s="11">
        <f t="shared" si="81"/>
        <v>91.457063591262965</v>
      </c>
      <c r="S47" s="11">
        <f t="shared" si="81"/>
        <v>3.1280094279425281</v>
      </c>
      <c r="T47" s="11">
        <f t="shared" si="81"/>
        <v>1.25</v>
      </c>
      <c r="U47" s="11">
        <f t="shared" si="81"/>
        <v>102.19441261767363</v>
      </c>
      <c r="W47" s="14"/>
      <c r="X47" s="14"/>
    </row>
    <row r="48" spans="1:25" x14ac:dyDescent="0.25">
      <c r="A48" t="s">
        <v>55</v>
      </c>
      <c r="B48" t="s">
        <v>51</v>
      </c>
      <c r="C48" t="s">
        <v>60</v>
      </c>
      <c r="D48" t="s">
        <v>52</v>
      </c>
      <c r="E48">
        <f>E46-E41-E12-E13-E14</f>
        <v>100.02770000000001</v>
      </c>
      <c r="F48">
        <f>F46-F41-F12-F13-F14</f>
        <v>15.286382736455467</v>
      </c>
      <c r="G48">
        <f>G46-G41-G12-G13-G14</f>
        <v>26.136599641873275</v>
      </c>
      <c r="H48" s="17">
        <f>H46-H41-H12-H13-H14</f>
        <v>84.741317263544573</v>
      </c>
      <c r="I48">
        <f>1.277*60</f>
        <v>76.61999999999999</v>
      </c>
      <c r="J48">
        <f t="shared" si="73"/>
        <v>2.4198023658282146</v>
      </c>
      <c r="K48" s="11">
        <v>1</v>
      </c>
      <c r="L48">
        <f t="shared" si="74"/>
        <v>63.245405648109816</v>
      </c>
      <c r="M48">
        <f t="shared" si="75"/>
        <v>2.7007605814991353</v>
      </c>
      <c r="N48" s="11">
        <v>1.1000000000000001</v>
      </c>
      <c r="O48">
        <f t="shared" si="76"/>
        <v>77.64756785191534</v>
      </c>
      <c r="P48">
        <f t="shared" si="77"/>
        <v>2.9159959866119505</v>
      </c>
      <c r="Q48" s="11">
        <v>1.2</v>
      </c>
      <c r="R48">
        <f t="shared" si="78"/>
        <v>91.457063591262965</v>
      </c>
      <c r="S48" s="11">
        <f t="shared" ref="S48" si="82">$E$7/($F$7+I48)^$G$7</f>
        <v>3.1280094279425281</v>
      </c>
      <c r="T48" s="11">
        <v>1.25</v>
      </c>
      <c r="U48">
        <f t="shared" si="80"/>
        <v>102.19441261767363</v>
      </c>
    </row>
    <row r="49" spans="1:25" x14ac:dyDescent="0.25">
      <c r="A49" t="s">
        <v>58</v>
      </c>
      <c r="B49" t="s">
        <v>56</v>
      </c>
      <c r="C49" t="s">
        <v>50</v>
      </c>
      <c r="D49" t="s">
        <v>57</v>
      </c>
      <c r="E49">
        <f>E39</f>
        <v>43.357700000000001</v>
      </c>
      <c r="F49">
        <f>F39</f>
        <v>1.44</v>
      </c>
      <c r="G49">
        <f>G39</f>
        <v>5.4877700000000011</v>
      </c>
      <c r="H49">
        <f>H39</f>
        <v>41.917700000000004</v>
      </c>
      <c r="I49">
        <f t="shared" ref="I49:U49" si="83">I39</f>
        <v>62</v>
      </c>
      <c r="J49">
        <f t="shared" ref="J49:J51" si="84">$E$4/($F$4+I49)^$G$4</f>
        <v>2.8026954609863979</v>
      </c>
      <c r="K49" s="11">
        <f t="shared" si="83"/>
        <v>1</v>
      </c>
      <c r="L49" s="15">
        <f t="shared" si="83"/>
        <v>15.380548069937328</v>
      </c>
      <c r="M49">
        <f t="shared" ref="M49:M51" si="85">$E$5/($F$5+I49)^$G$5</f>
        <v>3.1309743740122693</v>
      </c>
      <c r="N49" s="11">
        <f t="shared" si="83"/>
        <v>1.1000000000000001</v>
      </c>
      <c r="O49" s="16">
        <f t="shared" si="83"/>
        <v>18.900273964520647</v>
      </c>
      <c r="P49">
        <f t="shared" ref="P49:P51" si="86">$E$6/($F$6+I49)^$G$6</f>
        <v>3.3827849060504285</v>
      </c>
      <c r="Q49" s="11">
        <f t="shared" si="83"/>
        <v>1.2</v>
      </c>
      <c r="R49" s="13">
        <f t="shared" si="83"/>
        <v>22.276734628651635</v>
      </c>
      <c r="S49" s="11">
        <f t="shared" si="83"/>
        <v>3.631174333038528</v>
      </c>
      <c r="T49" s="11">
        <f t="shared" si="83"/>
        <v>1.25</v>
      </c>
      <c r="U49" s="12">
        <f t="shared" si="83"/>
        <v>24.90881196202356</v>
      </c>
      <c r="V49">
        <v>1.117</v>
      </c>
      <c r="W49" s="14">
        <v>1.2250000000000001</v>
      </c>
      <c r="X49" s="14">
        <v>1.304</v>
      </c>
      <c r="Y49" t="s">
        <v>61</v>
      </c>
    </row>
    <row r="50" spans="1:25" x14ac:dyDescent="0.25">
      <c r="A50" t="s">
        <v>55</v>
      </c>
      <c r="B50" t="s">
        <v>49</v>
      </c>
      <c r="C50" t="s">
        <v>60</v>
      </c>
      <c r="D50" t="s">
        <v>59</v>
      </c>
      <c r="E50">
        <f>E33+E49+E25</f>
        <v>55.217700000000001</v>
      </c>
      <c r="F50">
        <f t="shared" ref="F50:G50" si="87">F33+F49+F25</f>
        <v>6.26707217630854</v>
      </c>
      <c r="G50">
        <f t="shared" si="87"/>
        <v>11.942013305785125</v>
      </c>
      <c r="H50" s="17">
        <f t="shared" si="72"/>
        <v>48.950627823691462</v>
      </c>
      <c r="I50">
        <f>I49+15</f>
        <v>77</v>
      </c>
      <c r="J50">
        <f t="shared" si="84"/>
        <v>2.4112358617159497</v>
      </c>
      <c r="K50" s="11">
        <v>1</v>
      </c>
      <c r="L50" s="15">
        <f t="shared" ref="L50" si="88">K50*J50*G50</f>
        <v>28.795010743998134</v>
      </c>
      <c r="M50">
        <f t="shared" si="85"/>
        <v>2.6911521450149936</v>
      </c>
      <c r="N50" s="11">
        <v>1.1000000000000001</v>
      </c>
      <c r="O50" s="16">
        <f t="shared" ref="O50" si="89">N50*M50*G50</f>
        <v>35.351552196027356</v>
      </c>
      <c r="P50">
        <f t="shared" si="86"/>
        <v>2.9055840362135315</v>
      </c>
      <c r="Q50" s="11">
        <v>1.2</v>
      </c>
      <c r="R50" s="13">
        <f t="shared" ref="R50" si="90">Q50*P50*G50</f>
        <v>41.638227865846609</v>
      </c>
      <c r="S50" s="11">
        <f t="shared" ref="S50" si="91">$E$7/($F$7+$G$7*I50)^$G$7</f>
        <v>3.1604772533941734</v>
      </c>
      <c r="T50" s="11">
        <v>1.25</v>
      </c>
      <c r="U50" s="12">
        <f t="shared" ref="U50" si="92">T50*S50*G50</f>
        <v>47.178076765830554</v>
      </c>
    </row>
    <row r="51" spans="1:25" x14ac:dyDescent="0.25">
      <c r="A51" t="s">
        <v>54</v>
      </c>
      <c r="B51" t="s">
        <v>56</v>
      </c>
      <c r="C51" t="s">
        <v>60</v>
      </c>
      <c r="D51" t="s">
        <v>59</v>
      </c>
      <c r="E51">
        <f>E50+E40+E23</f>
        <v>80.227699999999999</v>
      </c>
      <c r="F51">
        <f t="shared" ref="F51:G51" si="93">F50+F40+F23</f>
        <v>7.8062181818181822</v>
      </c>
      <c r="G51">
        <f t="shared" si="93"/>
        <v>15.70850090909091</v>
      </c>
      <c r="H51" s="17">
        <f t="shared" si="72"/>
        <v>72.421481818181817</v>
      </c>
      <c r="I51">
        <f>I40</f>
        <v>66.179999999999993</v>
      </c>
      <c r="J51">
        <f t="shared" si="84"/>
        <v>2.6814319161120563</v>
      </c>
      <c r="K51" s="11">
        <v>1</v>
      </c>
      <c r="L51" s="15">
        <f t="shared" ref="L51" si="94">K51*J51*G51</f>
        <v>42.12127569191162</v>
      </c>
      <c r="M51">
        <f t="shared" si="85"/>
        <v>2.9945625984021031</v>
      </c>
      <c r="N51" s="11">
        <v>1.1000000000000001</v>
      </c>
      <c r="O51" s="16">
        <f t="shared" ref="O51" si="95">N51*M51*G51</f>
        <v>51.744098229261986</v>
      </c>
      <c r="P51">
        <f t="shared" si="86"/>
        <v>3.2346469604520989</v>
      </c>
      <c r="Q51" s="11">
        <v>1.2</v>
      </c>
      <c r="R51" s="13">
        <f t="shared" ref="R51" si="96">Q51*P51*G51</f>
        <v>60.973745662619933</v>
      </c>
      <c r="S51" s="11">
        <f t="shared" ref="S51" si="97">$E$7/($F$7+$G$7*I51)^$G$7</f>
        <v>3.5179939199942258</v>
      </c>
      <c r="T51" s="11">
        <v>1.25</v>
      </c>
      <c r="U51" s="12">
        <f t="shared" ref="U51" si="98">T51*S51*G51</f>
        <v>69.078013363006988</v>
      </c>
    </row>
    <row r="52" spans="1:25" x14ac:dyDescent="0.25">
      <c r="A52" t="s">
        <v>54</v>
      </c>
      <c r="B52" t="s">
        <v>67</v>
      </c>
      <c r="C52" t="s">
        <v>60</v>
      </c>
      <c r="D52" t="s">
        <v>91</v>
      </c>
      <c r="E52">
        <f>E51</f>
        <v>80.227699999999999</v>
      </c>
      <c r="F52">
        <f t="shared" ref="F52:G52" si="99">F51</f>
        <v>7.8062181818181822</v>
      </c>
      <c r="G52">
        <f t="shared" si="99"/>
        <v>15.70850090909091</v>
      </c>
      <c r="H52" s="17">
        <f t="shared" si="72"/>
        <v>72.421481818181817</v>
      </c>
      <c r="I52">
        <f>I51</f>
        <v>66.179999999999993</v>
      </c>
      <c r="J52">
        <f t="shared" ref="J52" si="100">$E$4/($F$4+I52)^$G$4</f>
        <v>2.6814319161120563</v>
      </c>
      <c r="K52" s="11">
        <v>1</v>
      </c>
      <c r="L52" s="15">
        <f t="shared" ref="L52" si="101">K52*J52*G52</f>
        <v>42.12127569191162</v>
      </c>
      <c r="M52">
        <f t="shared" ref="M52" si="102">$E$5/($F$5+I52)^$G$5</f>
        <v>2.9945625984021031</v>
      </c>
      <c r="N52" s="11">
        <v>1.1000000000000001</v>
      </c>
      <c r="O52" s="16">
        <f t="shared" ref="O52" si="103">N52*M52*G52</f>
        <v>51.744098229261986</v>
      </c>
      <c r="P52">
        <f t="shared" ref="P52" si="104">$E$6/($F$6+I52)^$G$6</f>
        <v>3.2346469604520989</v>
      </c>
      <c r="Q52" s="11">
        <v>1.2</v>
      </c>
      <c r="R52" s="13">
        <f t="shared" ref="R52" si="105">Q52*P52*G52</f>
        <v>60.973745662619933</v>
      </c>
      <c r="S52" s="11">
        <f t="shared" ref="S52" si="106">$E$7/($F$7+$G$7*I52)^$G$7</f>
        <v>3.5179939199942258</v>
      </c>
      <c r="T52" s="11">
        <v>1.25</v>
      </c>
      <c r="U52" s="12">
        <f t="shared" ref="U52" si="107">T52*S52*G52</f>
        <v>69.078013363006988</v>
      </c>
    </row>
    <row r="53" spans="1:25" x14ac:dyDescent="0.25">
      <c r="A53" t="s">
        <v>70</v>
      </c>
      <c r="B53" t="s">
        <v>71</v>
      </c>
      <c r="C53" t="s">
        <v>60</v>
      </c>
      <c r="D53" t="s">
        <v>72</v>
      </c>
      <c r="E53">
        <f>E31</f>
        <v>6.9337</v>
      </c>
      <c r="F53" s="17">
        <f>F31</f>
        <v>0.34260000000000002</v>
      </c>
      <c r="G53">
        <f>G31</f>
        <v>2.2856699999999996</v>
      </c>
      <c r="H53" s="17">
        <f t="shared" si="72"/>
        <v>6.5911</v>
      </c>
      <c r="I53">
        <f>I31</f>
        <v>20</v>
      </c>
      <c r="J53">
        <f t="shared" ref="J53" si="108">$E$4/($F$4+I53)^$G$4</f>
        <v>5.1279883252709775</v>
      </c>
      <c r="K53" s="11">
        <v>1</v>
      </c>
      <c r="L53" s="15">
        <f t="shared" ref="L53" si="109">K53*J53*G53</f>
        <v>11.720889075422113</v>
      </c>
      <c r="M53">
        <f t="shared" ref="M53" si="110">$E$5/($F$5+I53)^$G$5</f>
        <v>5.7793620017604477</v>
      </c>
      <c r="N53" s="11">
        <v>1.1000000000000001</v>
      </c>
      <c r="O53" s="16">
        <f t="shared" ref="O53" si="111">N53*M53*G53</f>
        <v>14.53068578122018</v>
      </c>
      <c r="P53">
        <f t="shared" ref="P53" si="112">$E$6/($F$6+I53)^$G$6</f>
        <v>6.2855184586943942</v>
      </c>
      <c r="Q53" s="11">
        <v>1.2</v>
      </c>
      <c r="R53" s="13">
        <f t="shared" ref="R53" si="113">Q53*P53*G53</f>
        <v>17.239945170580814</v>
      </c>
      <c r="S53" s="11">
        <f t="shared" ref="S53" si="114">$E$7/($F$7+$G$7*I53)^$G$7</f>
        <v>6.8456295772959823</v>
      </c>
      <c r="T53" s="11">
        <v>1.25</v>
      </c>
      <c r="U53" s="12">
        <f t="shared" ref="U53" si="115">T53*S53*G53</f>
        <v>19.558562694922632</v>
      </c>
    </row>
    <row r="54" spans="1:25" x14ac:dyDescent="0.25">
      <c r="A54" t="s">
        <v>54</v>
      </c>
      <c r="B54" t="s">
        <v>71</v>
      </c>
      <c r="C54" t="s">
        <v>50</v>
      </c>
      <c r="D54" t="s">
        <v>73</v>
      </c>
      <c r="E54">
        <f>E53+E37+E38+E27+E36+E26</f>
        <v>88.078299999999999</v>
      </c>
      <c r="F54">
        <f t="shared" ref="F54:G54" si="116">F53+F37+F38+F27+F36+F26</f>
        <v>9.3548451790633607</v>
      </c>
      <c r="G54">
        <f t="shared" si="116"/>
        <v>18.701397107438019</v>
      </c>
      <c r="H54" s="17">
        <f>E54-F54</f>
        <v>78.723454820936638</v>
      </c>
      <c r="I54">
        <f>I36</f>
        <v>82.98</v>
      </c>
      <c r="J54">
        <f t="shared" ref="J54" si="117">$E$4/($F$4+I54)^$G$4</f>
        <v>2.2839673698071761</v>
      </c>
      <c r="K54" s="11">
        <v>1</v>
      </c>
      <c r="L54" s="15">
        <f t="shared" ref="L54" si="118">K54*J54*G54</f>
        <v>42.713380763194742</v>
      </c>
      <c r="M54">
        <f t="shared" ref="M54" si="119">$E$5/($F$5+I54)^$G$5</f>
        <v>2.5484874286896297</v>
      </c>
      <c r="N54" s="11">
        <v>1.1000000000000001</v>
      </c>
      <c r="O54" s="16">
        <f t="shared" ref="O54" si="120">N54*M54*G54</f>
        <v>52.426302969962244</v>
      </c>
      <c r="P54">
        <f t="shared" ref="P54" si="121">$E$6/($F$6+I54)^$G$6</f>
        <v>2.7510549820237573</v>
      </c>
      <c r="Q54" s="11">
        <v>1.2</v>
      </c>
      <c r="R54" s="13">
        <f t="shared" ref="R54" si="122">Q54*P54*G54</f>
        <v>61.738286019866457</v>
      </c>
      <c r="S54" s="11">
        <f t="shared" ref="S54" si="123">$E$7/($F$7+$G$7*I54)^$G$7</f>
        <v>2.992652446427857</v>
      </c>
      <c r="T54" s="11">
        <v>1.25</v>
      </c>
      <c r="U54" s="12">
        <f t="shared" ref="U54" si="124">T54*S54*G54</f>
        <v>69.958477256491548</v>
      </c>
    </row>
    <row r="55" spans="1:25" x14ac:dyDescent="0.25">
      <c r="A55" t="s">
        <v>70</v>
      </c>
      <c r="B55" t="s">
        <v>86</v>
      </c>
      <c r="C55" t="s">
        <v>60</v>
      </c>
      <c r="D55" t="s">
        <v>93</v>
      </c>
      <c r="E55">
        <f>E54</f>
        <v>88.078299999999999</v>
      </c>
      <c r="F55">
        <f t="shared" ref="F55:U55" si="125">F54</f>
        <v>9.3548451790633607</v>
      </c>
      <c r="G55">
        <f t="shared" si="125"/>
        <v>18.701397107438019</v>
      </c>
      <c r="H55" s="17">
        <f t="shared" si="72"/>
        <v>78.723454820936638</v>
      </c>
      <c r="I55">
        <f t="shared" si="125"/>
        <v>82.98</v>
      </c>
      <c r="J55">
        <f t="shared" si="125"/>
        <v>2.2839673698071761</v>
      </c>
      <c r="K55" s="11">
        <f t="shared" si="125"/>
        <v>1</v>
      </c>
      <c r="L55">
        <f t="shared" si="125"/>
        <v>42.713380763194742</v>
      </c>
      <c r="M55">
        <f t="shared" si="125"/>
        <v>2.5484874286896297</v>
      </c>
      <c r="N55" s="11">
        <f t="shared" si="125"/>
        <v>1.1000000000000001</v>
      </c>
      <c r="O55">
        <f t="shared" si="125"/>
        <v>52.426302969962244</v>
      </c>
      <c r="P55">
        <f t="shared" si="125"/>
        <v>2.7510549820237573</v>
      </c>
      <c r="Q55" s="11">
        <f t="shared" si="125"/>
        <v>1.2</v>
      </c>
      <c r="R55">
        <f t="shared" si="125"/>
        <v>61.738286019866457</v>
      </c>
      <c r="S55" s="11">
        <f t="shared" si="125"/>
        <v>2.992652446427857</v>
      </c>
      <c r="T55" s="11">
        <f t="shared" si="125"/>
        <v>1.25</v>
      </c>
      <c r="U55">
        <f t="shared" si="125"/>
        <v>69.958477256491548</v>
      </c>
    </row>
    <row r="56" spans="1:25" x14ac:dyDescent="0.25">
      <c r="A56" t="s">
        <v>74</v>
      </c>
      <c r="B56" t="s">
        <v>51</v>
      </c>
      <c r="C56" t="s">
        <v>69</v>
      </c>
      <c r="D56" t="s">
        <v>120</v>
      </c>
      <c r="E56">
        <f>E55+E30</f>
        <v>95.488299999999995</v>
      </c>
      <c r="F56">
        <f t="shared" ref="F56:G56" si="126">F55+F30</f>
        <v>11.382245179063361</v>
      </c>
      <c r="G56">
        <f t="shared" si="126"/>
        <v>22.140837107438021</v>
      </c>
      <c r="H56" s="17">
        <f t="shared" si="72"/>
        <v>84.106054820936635</v>
      </c>
      <c r="I56">
        <f>I55</f>
        <v>82.98</v>
      </c>
      <c r="J56">
        <f t="shared" ref="J56" si="127">$E$4/($F$4+I56)^$G$4</f>
        <v>2.2839673698071761</v>
      </c>
      <c r="K56" s="11">
        <v>1</v>
      </c>
      <c r="L56" s="15">
        <f t="shared" ref="L56" si="128">K56*J56*G56</f>
        <v>50.568949493604343</v>
      </c>
      <c r="M56">
        <f t="shared" ref="M56" si="129">$E$5/($F$5+I56)^$G$5</f>
        <v>2.5484874286896297</v>
      </c>
      <c r="N56" s="11">
        <v>1.1000000000000001</v>
      </c>
      <c r="O56" s="16">
        <f t="shared" ref="O56" si="130">N56*M56*G56</f>
        <v>62.06820953186773</v>
      </c>
      <c r="P56">
        <f t="shared" ref="P56" si="131">$E$6/($F$6+I56)^$G$6</f>
        <v>2.7510549820237573</v>
      </c>
      <c r="Q56" s="11">
        <v>1.2</v>
      </c>
      <c r="R56" s="13">
        <f t="shared" ref="R56" si="132">Q56*P56*G56</f>
        <v>73.092792276712615</v>
      </c>
      <c r="S56" s="11">
        <f t="shared" ref="S56" si="133">$E$7/($F$7+$G$7*I56)^$G$7</f>
        <v>2.992652446427857</v>
      </c>
      <c r="T56" s="11">
        <v>1.25</v>
      </c>
      <c r="U56" s="12">
        <f t="shared" ref="U56" si="134">T56*S56*G56</f>
        <v>82.824787919418839</v>
      </c>
    </row>
    <row r="57" spans="1:25" x14ac:dyDescent="0.25">
      <c r="A57" t="s">
        <v>70</v>
      </c>
      <c r="B57" t="s">
        <v>56</v>
      </c>
      <c r="C57" t="s">
        <v>60</v>
      </c>
      <c r="D57" t="s">
        <v>75</v>
      </c>
      <c r="E57">
        <f>E56</f>
        <v>95.488299999999995</v>
      </c>
      <c r="F57">
        <f t="shared" ref="F57:G57" si="135">F56</f>
        <v>11.382245179063361</v>
      </c>
      <c r="G57">
        <f t="shared" si="135"/>
        <v>22.140837107438021</v>
      </c>
      <c r="H57" s="17">
        <f t="shared" si="72"/>
        <v>84.106054820936635</v>
      </c>
      <c r="I57">
        <f>I56</f>
        <v>82.98</v>
      </c>
      <c r="J57">
        <f t="shared" ref="J57:J58" si="136">$E$4/($F$4+I57)^$G$4</f>
        <v>2.2839673698071761</v>
      </c>
      <c r="K57" s="11">
        <v>1</v>
      </c>
      <c r="L57" s="15">
        <f t="shared" ref="L57:L58" si="137">K57*J57*G57</f>
        <v>50.568949493604343</v>
      </c>
      <c r="M57">
        <f t="shared" ref="M57:M58" si="138">$E$5/($F$5+I57)^$G$5</f>
        <v>2.5484874286896297</v>
      </c>
      <c r="N57" s="11">
        <v>1.1000000000000001</v>
      </c>
      <c r="O57" s="16">
        <f t="shared" ref="O57:O58" si="139">N57*M57*G57</f>
        <v>62.06820953186773</v>
      </c>
      <c r="P57">
        <f t="shared" ref="P57:P58" si="140">$E$6/($F$6+I57)^$G$6</f>
        <v>2.7510549820237573</v>
      </c>
      <c r="Q57" s="11">
        <v>1.2</v>
      </c>
      <c r="R57" s="13">
        <f t="shared" ref="R57:R58" si="141">Q57*P57*G57</f>
        <v>73.092792276712615</v>
      </c>
      <c r="S57" s="11">
        <f t="shared" ref="S57:S58" si="142">$E$7/($F$7+$G$7*I57)^$G$7</f>
        <v>2.992652446427857</v>
      </c>
      <c r="T57" s="11">
        <v>1.25</v>
      </c>
      <c r="U57" s="12">
        <f t="shared" ref="U57:U58" si="143">T57*S57*G57</f>
        <v>82.824787919418839</v>
      </c>
    </row>
    <row r="58" spans="1:25" x14ac:dyDescent="0.25">
      <c r="A58" t="s">
        <v>55</v>
      </c>
      <c r="B58" t="s">
        <v>85</v>
      </c>
      <c r="C58" t="s">
        <v>60</v>
      </c>
      <c r="D58" t="s">
        <v>99</v>
      </c>
      <c r="E58">
        <f>E57+E34</f>
        <v>96.428299999999993</v>
      </c>
      <c r="F58">
        <f t="shared" ref="F58:H58" si="144">F57+F34</f>
        <v>11.581145179063361</v>
      </c>
      <c r="G58">
        <f t="shared" si="144"/>
        <v>22.542177107438022</v>
      </c>
      <c r="H58" s="17">
        <f t="shared" si="144"/>
        <v>84.847154820936638</v>
      </c>
      <c r="I58">
        <f>I57</f>
        <v>82.98</v>
      </c>
      <c r="J58">
        <f t="shared" si="136"/>
        <v>2.2839673698071761</v>
      </c>
      <c r="K58" s="11">
        <v>1</v>
      </c>
      <c r="L58" s="15">
        <f t="shared" si="137"/>
        <v>51.485596957802755</v>
      </c>
      <c r="M58">
        <f t="shared" si="138"/>
        <v>2.5484874286896297</v>
      </c>
      <c r="N58" s="11">
        <v>1.1000000000000001</v>
      </c>
      <c r="O58" s="16">
        <f t="shared" si="139"/>
        <v>63.193300470961063</v>
      </c>
      <c r="P58">
        <f t="shared" si="140"/>
        <v>2.7510549820237573</v>
      </c>
      <c r="Q58" s="11">
        <v>1.2</v>
      </c>
      <c r="R58" s="13">
        <f t="shared" si="141"/>
        <v>74.417722364495106</v>
      </c>
      <c r="S58" s="11">
        <f t="shared" si="142"/>
        <v>2.992652446427857</v>
      </c>
      <c r="T58" s="11">
        <v>1.25</v>
      </c>
      <c r="U58" s="12">
        <f t="shared" si="143"/>
        <v>84.326126835480537</v>
      </c>
    </row>
    <row r="59" spans="1:25" x14ac:dyDescent="0.25">
      <c r="A59" t="s">
        <v>55</v>
      </c>
      <c r="B59" t="s">
        <v>76</v>
      </c>
      <c r="C59" t="s">
        <v>69</v>
      </c>
      <c r="D59" t="s">
        <v>137</v>
      </c>
      <c r="E59">
        <f>E22+E28+E29-E34+E24+E44</f>
        <v>10.6363</v>
      </c>
      <c r="F59">
        <f t="shared" ref="F59:H59" si="145">F22+F28+F29-F34+F24+F44</f>
        <v>3.0524698806244261</v>
      </c>
      <c r="G59">
        <f t="shared" si="145"/>
        <v>5.022371928374656</v>
      </c>
      <c r="H59">
        <f t="shared" si="145"/>
        <v>7.5838301193755733</v>
      </c>
      <c r="I59">
        <v>16</v>
      </c>
      <c r="J59">
        <f t="shared" ref="J59:J61" si="146">$E$4/($F$4+I59)^$G$4</f>
        <v>5.5666820761190863</v>
      </c>
      <c r="K59">
        <v>1</v>
      </c>
      <c r="L59">
        <f t="shared" ref="L59:L61" si="147">K59*J59*G59</f>
        <v>27.957947793286849</v>
      </c>
      <c r="M59">
        <f t="shared" ref="M59:M61" si="148">$E$5/($F$5+I59)^$G$5</f>
        <v>6.2865573285921874</v>
      </c>
      <c r="N59">
        <v>1.1000000000000001</v>
      </c>
      <c r="O59">
        <f t="shared" ref="O59:O61" si="149">N59*M59*G59</f>
        <v>34.730771958563309</v>
      </c>
      <c r="P59">
        <f t="shared" ref="P59:P61" si="150">$E$6/($F$6+I59)^$G$6</f>
        <v>6.847696740137482</v>
      </c>
      <c r="Q59">
        <v>1.2</v>
      </c>
      <c r="R59">
        <f t="shared" ref="R59:R61" si="151">Q59*P59*G59</f>
        <v>41.270015858026952</v>
      </c>
      <c r="S59">
        <f t="shared" ref="S59:S60" si="152">$E$7/($F$7+I59)^$G$7</f>
        <v>7.4100943163427635</v>
      </c>
      <c r="T59">
        <v>1.25</v>
      </c>
      <c r="U59">
        <f t="shared" ref="U59:U61" si="153">T59*S59*G59</f>
        <v>46.5203121012606</v>
      </c>
    </row>
    <row r="60" spans="1:25" x14ac:dyDescent="0.25">
      <c r="A60" t="s">
        <v>70</v>
      </c>
      <c r="B60" t="s">
        <v>67</v>
      </c>
      <c r="C60" t="s">
        <v>60</v>
      </c>
      <c r="D60" t="s">
        <v>79</v>
      </c>
      <c r="E60">
        <f>E22+E29</f>
        <v>2.44</v>
      </c>
      <c r="F60">
        <f t="shared" ref="F60" si="154">F22+F29</f>
        <v>0.96494600550964194</v>
      </c>
      <c r="G60">
        <f>G22+G29</f>
        <v>1.3109676033057851</v>
      </c>
      <c r="H60" s="17">
        <f t="shared" si="72"/>
        <v>1.475053994490358</v>
      </c>
      <c r="I60">
        <v>5</v>
      </c>
      <c r="J60">
        <f t="shared" si="146"/>
        <v>7.2764880427313479</v>
      </c>
      <c r="K60">
        <v>1</v>
      </c>
      <c r="L60">
        <f t="shared" si="147"/>
        <v>9.5392400898627177</v>
      </c>
      <c r="M60">
        <f t="shared" si="148"/>
        <v>8.2882042507758182</v>
      </c>
      <c r="N60">
        <v>1.1000000000000001</v>
      </c>
      <c r="O60">
        <f t="shared" si="149"/>
        <v>11.952123988583235</v>
      </c>
      <c r="P60">
        <f t="shared" si="150"/>
        <v>9.0876517826637997</v>
      </c>
      <c r="Q60">
        <v>1.2</v>
      </c>
      <c r="R60">
        <f t="shared" si="151"/>
        <v>14.296340492635569</v>
      </c>
      <c r="S60">
        <f t="shared" si="152"/>
        <v>9.8994696225611225</v>
      </c>
      <c r="T60">
        <v>1.25</v>
      </c>
      <c r="U60">
        <f t="shared" si="153"/>
        <v>16.222354956359226</v>
      </c>
    </row>
    <row r="61" spans="1:25" x14ac:dyDescent="0.25">
      <c r="A61" t="s">
        <v>54</v>
      </c>
      <c r="B61" t="s">
        <v>76</v>
      </c>
      <c r="C61" t="s">
        <v>50</v>
      </c>
      <c r="D61" t="s">
        <v>94</v>
      </c>
      <c r="E61">
        <f>E59+E56+E35/2</f>
        <v>111.2046</v>
      </c>
      <c r="F61">
        <f t="shared" ref="F61:G61" si="155">F59+F56+F35/2</f>
        <v>16.379715059687786</v>
      </c>
      <c r="G61">
        <f t="shared" si="155"/>
        <v>29.854209035812676</v>
      </c>
      <c r="H61" s="17">
        <f t="shared" si="72"/>
        <v>94.824884940312216</v>
      </c>
      <c r="I61">
        <f>I54</f>
        <v>82.98</v>
      </c>
      <c r="J61">
        <f t="shared" si="146"/>
        <v>2.2839673698071761</v>
      </c>
      <c r="K61" s="11">
        <v>1</v>
      </c>
      <c r="L61" s="15">
        <f t="shared" si="147"/>
        <v>68.186039289198703</v>
      </c>
      <c r="M61">
        <f t="shared" si="148"/>
        <v>2.5484874286896297</v>
      </c>
      <c r="N61" s="11">
        <v>1.1000000000000001</v>
      </c>
      <c r="O61" s="16">
        <f t="shared" si="149"/>
        <v>83.691384063365064</v>
      </c>
      <c r="P61">
        <f t="shared" si="150"/>
        <v>2.7510549820237573</v>
      </c>
      <c r="Q61" s="11">
        <v>1.2</v>
      </c>
      <c r="R61" s="13">
        <f t="shared" si="151"/>
        <v>98.556684602821363</v>
      </c>
      <c r="S61" s="11">
        <f t="shared" ref="S61" si="156">$E$7/($F$7+$G$7*I61)^$G$7</f>
        <v>2.992652446427857</v>
      </c>
      <c r="T61" s="11">
        <v>1.25</v>
      </c>
      <c r="U61" s="12">
        <f t="shared" si="153"/>
        <v>111.67908963399181</v>
      </c>
    </row>
    <row r="62" spans="1:25" x14ac:dyDescent="0.25">
      <c r="A62" t="s">
        <v>54</v>
      </c>
      <c r="B62" t="s">
        <v>77</v>
      </c>
      <c r="C62" t="s">
        <v>69</v>
      </c>
      <c r="D62" t="s">
        <v>78</v>
      </c>
      <c r="E62">
        <f>E35+E15+E16+E18+E19+E58+E59</f>
        <v>122.5146</v>
      </c>
      <c r="F62">
        <f t="shared" ref="F62:G62" si="157">F35+F15+F16+F18+F19+F61</f>
        <v>25.03234132231405</v>
      </c>
      <c r="G62">
        <f t="shared" si="157"/>
        <v>39.680784793388433</v>
      </c>
      <c r="H62" s="17">
        <f t="shared" si="72"/>
        <v>97.482258677685948</v>
      </c>
      <c r="L62">
        <v>38.941000000000003</v>
      </c>
      <c r="O62">
        <v>52.5</v>
      </c>
      <c r="R62">
        <v>64.430000000000007</v>
      </c>
      <c r="U62">
        <v>77.7</v>
      </c>
    </row>
    <row r="63" spans="1:25" x14ac:dyDescent="0.25">
      <c r="A63" t="s">
        <v>80</v>
      </c>
      <c r="B63" t="s">
        <v>76</v>
      </c>
      <c r="C63" t="s">
        <v>50</v>
      </c>
      <c r="D63" t="s">
        <v>83</v>
      </c>
      <c r="E63">
        <f>E57+E35/2</f>
        <v>100.56829999999999</v>
      </c>
      <c r="F63">
        <f>F57+F35/2</f>
        <v>13.327245179063361</v>
      </c>
      <c r="G63">
        <f t="shared" ref="G63" si="158">G57+G35/2</f>
        <v>24.83183710743802</v>
      </c>
      <c r="H63" s="17">
        <f t="shared" si="72"/>
        <v>87.241054820936625</v>
      </c>
      <c r="I63">
        <f>I61</f>
        <v>82.98</v>
      </c>
      <c r="L63">
        <v>38.79</v>
      </c>
      <c r="R63">
        <v>64.89</v>
      </c>
      <c r="U63">
        <v>78.489999999999995</v>
      </c>
    </row>
    <row r="64" spans="1:25" x14ac:dyDescent="0.25">
      <c r="D64" t="s">
        <v>81</v>
      </c>
      <c r="E64">
        <f>E63</f>
        <v>100.56829999999999</v>
      </c>
      <c r="F64">
        <f t="shared" ref="F64:I64" si="159">F63</f>
        <v>13.327245179063361</v>
      </c>
      <c r="G64">
        <f t="shared" si="159"/>
        <v>24.83183710743802</v>
      </c>
      <c r="H64" s="17">
        <f t="shared" si="72"/>
        <v>87.241054820936625</v>
      </c>
      <c r="I64">
        <f t="shared" si="159"/>
        <v>82.98</v>
      </c>
      <c r="J64">
        <f t="shared" ref="J64" si="160">$E$4/($F$4+I64)^$G$4</f>
        <v>2.2839673698071761</v>
      </c>
      <c r="K64" s="11">
        <v>1</v>
      </c>
      <c r="L64" s="15">
        <f t="shared" ref="L64" si="161">K64*J64*G64</f>
        <v>56.715105685755447</v>
      </c>
      <c r="M64">
        <f t="shared" ref="M64" si="162">$E$5/($F$5+I64)^$G$5</f>
        <v>2.5484874286896297</v>
      </c>
      <c r="N64" s="11">
        <v>1.1000000000000001</v>
      </c>
      <c r="O64" s="16">
        <f t="shared" ref="O64" si="163">N64*M64*G64</f>
        <v>69.611987169531901</v>
      </c>
      <c r="P64">
        <f t="shared" ref="P64" si="164">$E$6/($F$6+I64)^$G$6</f>
        <v>2.7510549820237573</v>
      </c>
      <c r="Q64" s="11">
        <v>1.2</v>
      </c>
      <c r="R64" s="13">
        <f t="shared" ref="R64" si="165">Q64*P64*G64</f>
        <v>81.976499024663724</v>
      </c>
      <c r="S64" s="11">
        <f t="shared" ref="S64" si="166">$E$7/($F$7+$G$7*I64)^$G$7</f>
        <v>2.992652446427857</v>
      </c>
      <c r="T64" s="11">
        <v>1.25</v>
      </c>
      <c r="U64" s="12">
        <f t="shared" ref="U64" si="167">T64*S64*G64</f>
        <v>92.891322586090538</v>
      </c>
    </row>
    <row r="65" spans="1:26" x14ac:dyDescent="0.25">
      <c r="E65">
        <f>E63-F63</f>
        <v>87.241054820936625</v>
      </c>
    </row>
    <row r="66" spans="1:26" x14ac:dyDescent="0.25">
      <c r="A66" t="s">
        <v>70</v>
      </c>
      <c r="B66" t="s">
        <v>67</v>
      </c>
      <c r="C66" t="s">
        <v>60</v>
      </c>
      <c r="D66" t="s">
        <v>79</v>
      </c>
    </row>
    <row r="68" spans="1:26" x14ac:dyDescent="0.25">
      <c r="A68" t="s">
        <v>80</v>
      </c>
      <c r="B68" t="s">
        <v>121</v>
      </c>
      <c r="C68" t="s">
        <v>50</v>
      </c>
      <c r="D68" t="s">
        <v>122</v>
      </c>
      <c r="E68">
        <v>1.24</v>
      </c>
      <c r="F68">
        <f>Z68</f>
        <v>0.43553719008264463</v>
      </c>
      <c r="G68">
        <f t="shared" ref="G68" si="168">F68*0.9+(E68-F68)*0.3</f>
        <v>0.63332231404958683</v>
      </c>
      <c r="H68" s="17">
        <f t="shared" ref="H68" si="169">E68-F68</f>
        <v>0.80446280991735541</v>
      </c>
      <c r="I68">
        <v>5</v>
      </c>
      <c r="J68">
        <f>$E$4/($F$4+I68)^$G$4</f>
        <v>7.2764880427313479</v>
      </c>
      <c r="K68">
        <v>1</v>
      </c>
      <c r="L68">
        <f>K68*J68*G68</f>
        <v>4.6083622453767665</v>
      </c>
      <c r="M68">
        <f>$E$5/($F$5+I68)^$G$5</f>
        <v>8.2882042507758182</v>
      </c>
      <c r="N68">
        <v>1.1000000000000001</v>
      </c>
      <c r="O68">
        <f>N68*M68*G68</f>
        <v>5.7740151649586595</v>
      </c>
      <c r="P68">
        <f>$E$6/($F$6+I68)^$G$6</f>
        <v>9.0876517826637997</v>
      </c>
      <c r="Q68">
        <v>1.2</v>
      </c>
      <c r="R68">
        <f>Q68*P68*G68</f>
        <v>6.906495187528189</v>
      </c>
      <c r="S68">
        <f>$E$7/($F$7+I68)^$G$7</f>
        <v>9.8994696225611225</v>
      </c>
      <c r="T68">
        <v>1.25</v>
      </c>
      <c r="U68">
        <f>T68*S68*G68</f>
        <v>7.8369437615299997</v>
      </c>
      <c r="W68">
        <v>527</v>
      </c>
      <c r="X68">
        <v>36</v>
      </c>
      <c r="Y68">
        <f t="shared" ref="Y68" si="170">X68*W68</f>
        <v>18972</v>
      </c>
      <c r="Z68">
        <f t="shared" ref="Z68" si="171">Y68/43560</f>
        <v>0.43553719008264463</v>
      </c>
    </row>
    <row r="69" spans="1:26" x14ac:dyDescent="0.25">
      <c r="A69" t="s">
        <v>80</v>
      </c>
      <c r="B69" t="s">
        <v>51</v>
      </c>
      <c r="C69" t="s">
        <v>50</v>
      </c>
      <c r="D69" t="s">
        <v>123</v>
      </c>
      <c r="E69">
        <v>27.3</v>
      </c>
      <c r="F69">
        <f t="shared" ref="F69:F70" si="172">Z69</f>
        <v>0.78181818181818186</v>
      </c>
      <c r="G69">
        <f t="shared" ref="G69:G70" si="173">F69*0.9+(E69-F69)*0.3</f>
        <v>8.6590909090909083</v>
      </c>
      <c r="H69" s="17">
        <f t="shared" ref="H69:H70" si="174">E69-F69</f>
        <v>26.518181818181819</v>
      </c>
      <c r="I69">
        <v>144</v>
      </c>
      <c r="J69">
        <f>$E$4/($F$4+I69)^$G$4</f>
        <v>1.4835112600445803</v>
      </c>
      <c r="K69">
        <v>1</v>
      </c>
      <c r="L69">
        <f>K69*J69*G69</f>
        <v>12.845858865386024</v>
      </c>
      <c r="M69">
        <f>$E$5/($F$5+I69)^$G$5</f>
        <v>1.6544442831566311</v>
      </c>
      <c r="N69">
        <v>1.1000000000000001</v>
      </c>
      <c r="O69">
        <f>N69*M69*G69</f>
        <v>15.758581797066912</v>
      </c>
      <c r="P69">
        <f>$E$6/($F$6+I69)^$G$6</f>
        <v>1.7852239610901648</v>
      </c>
      <c r="Q69">
        <v>1.2</v>
      </c>
      <c r="R69">
        <f>Q69*P69*G69</f>
        <v>18.550099886600528</v>
      </c>
      <c r="S69">
        <f>$E$7/($F$7+I69)^$G$7</f>
        <v>1.9138047138476109</v>
      </c>
      <c r="T69">
        <v>1.25</v>
      </c>
      <c r="U69">
        <f>T69*S69*G69</f>
        <v>20.714761249316467</v>
      </c>
      <c r="W69">
        <v>946</v>
      </c>
      <c r="X69">
        <v>36</v>
      </c>
      <c r="Y69">
        <f t="shared" ref="Y69" si="175">X69*W69</f>
        <v>34056</v>
      </c>
      <c r="Z69">
        <f t="shared" ref="Z69" si="176">Y69/43560</f>
        <v>0.78181818181818186</v>
      </c>
    </row>
    <row r="70" spans="1:26" x14ac:dyDescent="0.25">
      <c r="A70" t="s">
        <v>80</v>
      </c>
      <c r="B70" t="s">
        <v>49</v>
      </c>
      <c r="C70" t="s">
        <v>50</v>
      </c>
      <c r="D70" t="s">
        <v>124</v>
      </c>
      <c r="E70">
        <v>3.76</v>
      </c>
      <c r="F70">
        <f t="shared" si="172"/>
        <v>1.8712580348943986</v>
      </c>
      <c r="G70">
        <f t="shared" si="173"/>
        <v>2.2507548209366393</v>
      </c>
      <c r="H70" s="17">
        <f t="shared" si="174"/>
        <v>1.8887419651056012</v>
      </c>
      <c r="I70">
        <v>5</v>
      </c>
      <c r="J70">
        <f>$E$4/($F$4+I70)^$G$4</f>
        <v>7.2764880427313479</v>
      </c>
      <c r="K70">
        <v>1</v>
      </c>
      <c r="L70">
        <f>K70*J70*G70</f>
        <v>16.377590541665391</v>
      </c>
      <c r="M70">
        <f>$E$5/($F$5+I70)^$G$5</f>
        <v>8.2882042507758182</v>
      </c>
      <c r="N70">
        <v>1.1000000000000001</v>
      </c>
      <c r="O70">
        <f>N70*M70*G70</f>
        <v>20.520187241775343</v>
      </c>
      <c r="P70">
        <f>$E$6/($F$6+I70)^$G$6</f>
        <v>9.0876517826637997</v>
      </c>
      <c r="Q70">
        <v>1.2</v>
      </c>
      <c r="R70">
        <f>Q70*P70*G70</f>
        <v>24.544891272988789</v>
      </c>
      <c r="S70">
        <f>$E$7/($F$7+I70)^$G$7</f>
        <v>9.8994696225611225</v>
      </c>
      <c r="T70">
        <v>1.25</v>
      </c>
      <c r="U70">
        <f>T70*S70*G70</f>
        <v>27.851598722119071</v>
      </c>
      <c r="W70">
        <v>1772</v>
      </c>
      <c r="X70">
        <v>46</v>
      </c>
      <c r="Y70">
        <f t="shared" ref="Y70" si="177">X70*W70</f>
        <v>81512</v>
      </c>
      <c r="Z70">
        <f t="shared" ref="Z70" si="178">Y70/43560</f>
        <v>1.8712580348943986</v>
      </c>
    </row>
    <row r="71" spans="1:26" x14ac:dyDescent="0.25">
      <c r="A71" t="s">
        <v>80</v>
      </c>
      <c r="B71" t="s">
        <v>77</v>
      </c>
      <c r="C71" t="s">
        <v>69</v>
      </c>
      <c r="D71" t="s">
        <v>125</v>
      </c>
      <c r="E71">
        <v>71.89</v>
      </c>
      <c r="F71">
        <f>Z71</f>
        <v>1.5618457300275481</v>
      </c>
      <c r="G71">
        <f t="shared" ref="G71" si="179">F71*0.9+(E71-F71)*0.3</f>
        <v>22.504107438016533</v>
      </c>
      <c r="H71" s="17">
        <f t="shared" ref="H71" si="180">E71-F71</f>
        <v>70.328154269972458</v>
      </c>
      <c r="I71">
        <f>0.988*60</f>
        <v>59.28</v>
      </c>
      <c r="J71">
        <f>$E$4/($F$4+I71)^$G$4</f>
        <v>2.8876499477340736</v>
      </c>
      <c r="K71">
        <v>1</v>
      </c>
      <c r="L71">
        <f>K71*J71*G71</f>
        <v>64.983984667190413</v>
      </c>
      <c r="M71">
        <f>$E$5/($F$5+I71)^$G$5</f>
        <v>3.2266331417253102</v>
      </c>
      <c r="N71">
        <v>1.1000000000000001</v>
      </c>
      <c r="O71">
        <f>N71*M71*G71</f>
        <v>79.873748772896334</v>
      </c>
      <c r="P71">
        <f>$E$6/($F$6+I71)^$G$6</f>
        <v>3.4867401001300524</v>
      </c>
      <c r="Q71">
        <v>1.2</v>
      </c>
      <c r="R71">
        <f>Q71*P71*G71</f>
        <v>94.159168586120671</v>
      </c>
      <c r="S71">
        <f>$E$7/($F$7+I71)^$G$7</f>
        <v>3.7434025368601498</v>
      </c>
      <c r="T71">
        <v>1.25</v>
      </c>
      <c r="U71">
        <f>T71*S71*G71</f>
        <v>105.30241609155556</v>
      </c>
      <c r="W71">
        <v>1479</v>
      </c>
      <c r="X71">
        <v>46</v>
      </c>
      <c r="Y71">
        <f t="shared" ref="Y71" si="181">X71*W71</f>
        <v>68034</v>
      </c>
      <c r="Z71">
        <f t="shared" ref="Z71" si="182">Y71/43560</f>
        <v>1.5618457300275481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33"/>
  <sheetViews>
    <sheetView workbookViewId="0">
      <selection activeCell="B3" sqref="B3:E3"/>
    </sheetView>
  </sheetViews>
  <sheetFormatPr defaultRowHeight="15" x14ac:dyDescent="0.25"/>
  <sheetData>
    <row r="2" spans="2:11" x14ac:dyDescent="0.25">
      <c r="B2" t="s">
        <v>8</v>
      </c>
      <c r="C2" t="s">
        <v>9</v>
      </c>
      <c r="D2" t="s">
        <v>10</v>
      </c>
      <c r="E2" t="s">
        <v>11</v>
      </c>
    </row>
    <row r="3" spans="2:11" x14ac:dyDescent="0.25">
      <c r="B3">
        <v>604</v>
      </c>
      <c r="C3">
        <f>34*2</f>
        <v>68</v>
      </c>
      <c r="D3">
        <f t="shared" ref="D3:D24" si="0">C3*B3</f>
        <v>41072</v>
      </c>
      <c r="E3">
        <f>D3/43560</f>
        <v>0.9428833792470156</v>
      </c>
      <c r="G3">
        <f>22*B3</f>
        <v>13288</v>
      </c>
      <c r="H3">
        <f>G3/43560</f>
        <v>0.30505050505050507</v>
      </c>
    </row>
    <row r="4" spans="2:11" x14ac:dyDescent="0.25">
      <c r="B4">
        <v>378</v>
      </c>
      <c r="C4">
        <v>92</v>
      </c>
      <c r="D4">
        <f t="shared" si="0"/>
        <v>34776</v>
      </c>
      <c r="E4">
        <f t="shared" ref="E4:E25" si="1">D4/43560</f>
        <v>0.79834710743801651</v>
      </c>
    </row>
    <row r="5" spans="2:11" x14ac:dyDescent="0.25">
      <c r="B5">
        <v>322</v>
      </c>
      <c r="C5">
        <f>34*2</f>
        <v>68</v>
      </c>
      <c r="D5">
        <f t="shared" si="0"/>
        <v>21896</v>
      </c>
      <c r="E5">
        <f t="shared" si="1"/>
        <v>0.50266299357208444</v>
      </c>
    </row>
    <row r="6" spans="2:11" x14ac:dyDescent="0.25">
      <c r="B6">
        <v>375</v>
      </c>
      <c r="C6">
        <v>80</v>
      </c>
      <c r="D6">
        <f t="shared" si="0"/>
        <v>30000</v>
      </c>
      <c r="E6">
        <f t="shared" si="1"/>
        <v>0.68870523415977958</v>
      </c>
    </row>
    <row r="7" spans="2:11" x14ac:dyDescent="0.25">
      <c r="B7">
        <v>615.36</v>
      </c>
      <c r="C7">
        <v>80</v>
      </c>
      <c r="D7">
        <f t="shared" si="0"/>
        <v>49228.800000000003</v>
      </c>
      <c r="E7">
        <f t="shared" si="1"/>
        <v>1.1301377410468321</v>
      </c>
    </row>
    <row r="8" spans="2:11" x14ac:dyDescent="0.25">
      <c r="B8">
        <v>469</v>
      </c>
      <c r="C8">
        <f>36+10</f>
        <v>46</v>
      </c>
      <c r="D8">
        <f t="shared" si="0"/>
        <v>21574</v>
      </c>
      <c r="E8">
        <f t="shared" si="1"/>
        <v>0.49527089072543617</v>
      </c>
      <c r="K8">
        <v>15.33</v>
      </c>
    </row>
    <row r="9" spans="2:11" x14ac:dyDescent="0.25">
      <c r="B9">
        <v>1644</v>
      </c>
      <c r="C9">
        <v>32</v>
      </c>
      <c r="D9">
        <f t="shared" si="0"/>
        <v>52608</v>
      </c>
      <c r="E9">
        <f t="shared" si="1"/>
        <v>1.2077134986225895</v>
      </c>
      <c r="K9">
        <v>1.95</v>
      </c>
    </row>
    <row r="10" spans="2:11" x14ac:dyDescent="0.25">
      <c r="B10">
        <v>1300</v>
      </c>
      <c r="C10">
        <f>36+10</f>
        <v>46</v>
      </c>
      <c r="D10">
        <f t="shared" si="0"/>
        <v>59800</v>
      </c>
      <c r="E10">
        <f t="shared" si="1"/>
        <v>1.3728191000918273</v>
      </c>
      <c r="F10">
        <f>E10+0.0632</f>
        <v>1.4360191000918272</v>
      </c>
      <c r="K10">
        <v>0.98</v>
      </c>
    </row>
    <row r="11" spans="2:11" x14ac:dyDescent="0.25">
      <c r="B11">
        <v>473</v>
      </c>
      <c r="C11">
        <v>38</v>
      </c>
      <c r="D11">
        <f t="shared" si="0"/>
        <v>17974</v>
      </c>
      <c r="E11">
        <f t="shared" si="1"/>
        <v>0.41262626262626262</v>
      </c>
      <c r="K11">
        <v>1.61</v>
      </c>
    </row>
    <row r="12" spans="2:11" x14ac:dyDescent="0.25">
      <c r="B12">
        <v>2244.58</v>
      </c>
      <c r="C12">
        <v>46</v>
      </c>
      <c r="D12">
        <f t="shared" si="0"/>
        <v>103250.68</v>
      </c>
      <c r="E12">
        <f t="shared" si="1"/>
        <v>2.3703094582185491</v>
      </c>
      <c r="F12">
        <f>E12+0.0361</f>
        <v>2.4064094582185489</v>
      </c>
      <c r="K12">
        <f>K8-K9-K10-K11</f>
        <v>10.790000000000001</v>
      </c>
    </row>
    <row r="13" spans="2:11" x14ac:dyDescent="0.25">
      <c r="B13">
        <v>237.78</v>
      </c>
      <c r="C13">
        <v>80</v>
      </c>
      <c r="D13">
        <f t="shared" si="0"/>
        <v>19022.400000000001</v>
      </c>
      <c r="E13">
        <f t="shared" si="1"/>
        <v>0.4366942148760331</v>
      </c>
      <c r="K13">
        <f>K12-6.9</f>
        <v>3.8900000000000006</v>
      </c>
    </row>
    <row r="14" spans="2:11" x14ac:dyDescent="0.25">
      <c r="B14">
        <v>663.87300000000005</v>
      </c>
      <c r="C14">
        <v>80</v>
      </c>
      <c r="D14">
        <f t="shared" si="0"/>
        <v>53109.840000000004</v>
      </c>
      <c r="E14">
        <f t="shared" si="1"/>
        <v>1.2192341597796144</v>
      </c>
    </row>
    <row r="15" spans="2:11" x14ac:dyDescent="0.25">
      <c r="B15">
        <v>1095</v>
      </c>
      <c r="C15">
        <v>70</v>
      </c>
      <c r="D15">
        <f t="shared" si="0"/>
        <v>76650</v>
      </c>
      <c r="E15">
        <f t="shared" si="1"/>
        <v>1.7596418732782368</v>
      </c>
    </row>
    <row r="16" spans="2:11" x14ac:dyDescent="0.25">
      <c r="B16">
        <v>136</v>
      </c>
      <c r="C16">
        <v>70</v>
      </c>
      <c r="D16">
        <f t="shared" si="0"/>
        <v>9520</v>
      </c>
      <c r="E16">
        <f t="shared" si="1"/>
        <v>0.21854912764003673</v>
      </c>
    </row>
    <row r="17" spans="2:6" x14ac:dyDescent="0.25">
      <c r="B17">
        <v>614.77</v>
      </c>
      <c r="C17">
        <v>70</v>
      </c>
      <c r="D17">
        <f t="shared" si="0"/>
        <v>43033.9</v>
      </c>
      <c r="E17">
        <f t="shared" si="1"/>
        <v>0.98792240587695135</v>
      </c>
    </row>
    <row r="18" spans="2:6" x14ac:dyDescent="0.25">
      <c r="B18">
        <v>199</v>
      </c>
      <c r="C18">
        <v>92</v>
      </c>
      <c r="D18">
        <f t="shared" si="0"/>
        <v>18308</v>
      </c>
      <c r="E18">
        <f t="shared" si="1"/>
        <v>0.42029384756657484</v>
      </c>
    </row>
    <row r="19" spans="2:6" x14ac:dyDescent="0.25">
      <c r="B19">
        <v>681</v>
      </c>
      <c r="C19">
        <v>70</v>
      </c>
      <c r="D19">
        <f t="shared" si="0"/>
        <v>47670</v>
      </c>
      <c r="E19">
        <f t="shared" si="1"/>
        <v>1.0943526170798898</v>
      </c>
    </row>
    <row r="20" spans="2:6" x14ac:dyDescent="0.25">
      <c r="B20">
        <v>746</v>
      </c>
      <c r="C20">
        <v>68</v>
      </c>
      <c r="D20">
        <f t="shared" si="0"/>
        <v>50728</v>
      </c>
      <c r="E20">
        <f t="shared" si="1"/>
        <v>1.16455463728191</v>
      </c>
    </row>
    <row r="21" spans="2:6" x14ac:dyDescent="0.25">
      <c r="B21">
        <v>320.36</v>
      </c>
      <c r="C21">
        <v>10</v>
      </c>
      <c r="D21">
        <f t="shared" si="0"/>
        <v>3203.6000000000004</v>
      </c>
      <c r="E21">
        <f t="shared" si="1"/>
        <v>7.3544536271809013E-2</v>
      </c>
    </row>
    <row r="22" spans="2:6" x14ac:dyDescent="0.25">
      <c r="B22">
        <v>455</v>
      </c>
      <c r="C22">
        <v>4</v>
      </c>
      <c r="D22">
        <f t="shared" si="0"/>
        <v>1820</v>
      </c>
      <c r="E22">
        <f t="shared" si="1"/>
        <v>4.178145087235996E-2</v>
      </c>
    </row>
    <row r="23" spans="2:6" x14ac:dyDescent="0.25">
      <c r="B23">
        <v>480</v>
      </c>
      <c r="C23">
        <v>6</v>
      </c>
      <c r="D23">
        <f t="shared" si="0"/>
        <v>2880</v>
      </c>
      <c r="E23">
        <f t="shared" si="1"/>
        <v>6.6115702479338845E-2</v>
      </c>
      <c r="F23">
        <f>E21+E22+E23</f>
        <v>0.18144168962350782</v>
      </c>
    </row>
    <row r="24" spans="2:6" x14ac:dyDescent="0.25">
      <c r="B24">
        <f>22345.95-20400+309</f>
        <v>2254.9500000000007</v>
      </c>
      <c r="C24">
        <v>30</v>
      </c>
      <c r="D24">
        <f t="shared" si="0"/>
        <v>67648.500000000029</v>
      </c>
      <c r="E24">
        <f t="shared" si="1"/>
        <v>1.5529958677685958</v>
      </c>
    </row>
    <row r="25" spans="2:6" x14ac:dyDescent="0.25">
      <c r="B25">
        <v>514</v>
      </c>
      <c r="C25">
        <v>70</v>
      </c>
      <c r="D25">
        <f t="shared" ref="D25" si="2">C25*B25</f>
        <v>35980</v>
      </c>
      <c r="E25">
        <f t="shared" si="1"/>
        <v>0.82598714416896235</v>
      </c>
    </row>
    <row r="26" spans="2:6" x14ac:dyDescent="0.25">
      <c r="B26">
        <f>95000-93512.31+20400-20000+64.579</f>
        <v>1952.2690000000023</v>
      </c>
      <c r="C26">
        <v>46</v>
      </c>
      <c r="D26">
        <f>C26*B26</f>
        <v>89804.374000000098</v>
      </c>
      <c r="E26">
        <f>D26/43560</f>
        <v>2.0616247474747498</v>
      </c>
      <c r="F26">
        <f>E26+E24</f>
        <v>3.6146206152433455</v>
      </c>
    </row>
    <row r="28" spans="2:6" x14ac:dyDescent="0.25">
      <c r="E28">
        <f>7.4087-5.3813</f>
        <v>2.0273999999999992</v>
      </c>
    </row>
    <row r="29" spans="2:6" x14ac:dyDescent="0.25">
      <c r="E29">
        <f>5.891-4.9981</f>
        <v>0.89290000000000003</v>
      </c>
    </row>
    <row r="30" spans="2:6" x14ac:dyDescent="0.25">
      <c r="E30">
        <f>18-1.61-12.9282</f>
        <v>3.4618000000000002</v>
      </c>
    </row>
    <row r="31" spans="2:6" x14ac:dyDescent="0.25">
      <c r="E31">
        <f>9.3175-6.8031</f>
        <v>2.5144000000000011</v>
      </c>
    </row>
    <row r="32" spans="2:6" x14ac:dyDescent="0.25">
      <c r="E32">
        <f>1.5528-1.307</f>
        <v>0.24580000000000002</v>
      </c>
    </row>
    <row r="33" spans="5:5" x14ac:dyDescent="0.25">
      <c r="E33">
        <f>9.17-8.1</f>
        <v>1.0700000000000003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8"/>
  <sheetViews>
    <sheetView workbookViewId="0">
      <selection activeCell="D22" sqref="D22"/>
    </sheetView>
  </sheetViews>
  <sheetFormatPr defaultRowHeight="15" x14ac:dyDescent="0.25"/>
  <cols>
    <col min="2" max="2" width="13.42578125" customWidth="1"/>
    <col min="3" max="3" width="15.7109375" customWidth="1"/>
    <col min="4" max="4" width="14.140625" customWidth="1"/>
    <col min="5" max="5" width="15.5703125" customWidth="1"/>
  </cols>
  <sheetData>
    <row r="2" spans="2:5" x14ac:dyDescent="0.25">
      <c r="B2" s="9" t="s">
        <v>26</v>
      </c>
      <c r="C2" s="2" t="s">
        <v>17</v>
      </c>
      <c r="D2" s="2" t="s">
        <v>18</v>
      </c>
      <c r="E2" s="3" t="s">
        <v>19</v>
      </c>
    </row>
    <row r="3" spans="2:5" x14ac:dyDescent="0.25">
      <c r="B3" s="7" t="s">
        <v>20</v>
      </c>
      <c r="C3" s="1">
        <v>249.29889</v>
      </c>
      <c r="D3" s="1">
        <v>34.174900000000001</v>
      </c>
      <c r="E3" s="4">
        <v>1.02668</v>
      </c>
    </row>
    <row r="4" spans="2:5" x14ac:dyDescent="0.25">
      <c r="B4" s="7" t="s">
        <v>21</v>
      </c>
      <c r="C4" s="1">
        <v>261.13655</v>
      </c>
      <c r="D4" s="1">
        <v>32.358699999999999</v>
      </c>
      <c r="E4" s="4">
        <v>1.01519</v>
      </c>
    </row>
    <row r="5" spans="2:5" x14ac:dyDescent="0.25">
      <c r="B5" s="7" t="s">
        <v>22</v>
      </c>
      <c r="C5" s="1">
        <v>269.52906000000002</v>
      </c>
      <c r="D5" s="1">
        <v>31.104620000000001</v>
      </c>
      <c r="E5" s="4">
        <v>1.0071399999999999</v>
      </c>
    </row>
    <row r="6" spans="2:5" x14ac:dyDescent="0.25">
      <c r="B6" s="7" t="s">
        <v>23</v>
      </c>
      <c r="C6" s="1">
        <v>281.11392999999998</v>
      </c>
      <c r="D6" s="1">
        <v>29.392219999999998</v>
      </c>
      <c r="E6" s="4">
        <v>0.99607000000000001</v>
      </c>
    </row>
    <row r="7" spans="2:5" x14ac:dyDescent="0.25">
      <c r="B7" s="7" t="s">
        <v>24</v>
      </c>
      <c r="C7" s="1">
        <v>289.29525999999998</v>
      </c>
      <c r="D7" s="1">
        <v>28.173349999999999</v>
      </c>
      <c r="E7" s="4">
        <v>0.98823000000000005</v>
      </c>
    </row>
    <row r="8" spans="2:5" ht="15.75" thickBot="1" x14ac:dyDescent="0.3">
      <c r="B8" s="8" t="s">
        <v>25</v>
      </c>
      <c r="C8" s="5">
        <v>296.80041999999997</v>
      </c>
      <c r="D8" s="5">
        <v>27.025970000000001</v>
      </c>
      <c r="E8" s="6">
        <v>0.98097000000000001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W51"/>
  <sheetViews>
    <sheetView topLeftCell="A22" workbookViewId="0">
      <selection activeCell="K48" sqref="K48"/>
    </sheetView>
  </sheetViews>
  <sheetFormatPr defaultRowHeight="15.75" x14ac:dyDescent="0.25"/>
  <cols>
    <col min="1" max="1" width="9.140625" style="20"/>
    <col min="2" max="2" width="16.85546875" style="20" customWidth="1"/>
    <col min="3" max="3" width="14.85546875" style="20" customWidth="1"/>
    <col min="4" max="4" width="9.140625" style="20"/>
    <col min="5" max="5" width="15.28515625" style="20" customWidth="1"/>
    <col min="6" max="6" width="16.5703125" style="20" customWidth="1"/>
    <col min="7" max="8" width="12.85546875" style="20" customWidth="1"/>
    <col min="9" max="9" width="10.5703125" style="20" bestFit="1" customWidth="1"/>
    <col min="10" max="10" width="13.42578125" style="20" hidden="1" customWidth="1"/>
    <col min="11" max="11" width="11.5703125" style="20" bestFit="1" customWidth="1"/>
    <col min="12" max="13" width="10.5703125" style="20" bestFit="1" customWidth="1"/>
    <col min="14" max="14" width="11.5703125" style="20" bestFit="1" customWidth="1"/>
    <col min="15" max="16" width="10.5703125" style="20" bestFit="1" customWidth="1"/>
    <col min="17" max="17" width="11.5703125" style="20" bestFit="1" customWidth="1"/>
    <col min="18" max="19" width="10.5703125" style="20" bestFit="1" customWidth="1"/>
    <col min="20" max="20" width="11.5703125" style="20" bestFit="1" customWidth="1"/>
    <col min="21" max="22" width="10.5703125" style="20" bestFit="1" customWidth="1"/>
    <col min="23" max="23" width="11.5703125" style="20" bestFit="1" customWidth="1"/>
    <col min="24" max="16384" width="9.140625" style="20"/>
  </cols>
  <sheetData>
    <row r="1" spans="2:23" ht="16.5" thickBot="1" x14ac:dyDescent="0.3"/>
    <row r="2" spans="2:23" x14ac:dyDescent="0.25">
      <c r="B2" s="21"/>
      <c r="C2" s="22"/>
      <c r="D2" s="22"/>
      <c r="E2" s="22"/>
      <c r="F2" s="22"/>
      <c r="G2" s="22" t="s">
        <v>132</v>
      </c>
      <c r="H2" s="22" t="s">
        <v>133</v>
      </c>
      <c r="I2" s="22"/>
      <c r="J2" s="22"/>
      <c r="K2" s="23"/>
      <c r="L2" s="90" t="s">
        <v>15</v>
      </c>
      <c r="M2" s="88"/>
      <c r="N2" s="89"/>
      <c r="O2" s="90" t="s">
        <v>16</v>
      </c>
      <c r="P2" s="88"/>
      <c r="Q2" s="89"/>
      <c r="R2" s="91" t="s">
        <v>1</v>
      </c>
      <c r="S2" s="88"/>
      <c r="T2" s="92"/>
      <c r="U2" s="90" t="s">
        <v>6</v>
      </c>
      <c r="V2" s="88"/>
      <c r="W2" s="89"/>
    </row>
    <row r="3" spans="2:23" ht="32.25" thickBot="1" x14ac:dyDescent="0.3">
      <c r="B3" s="24" t="s">
        <v>129</v>
      </c>
      <c r="C3" s="25" t="s">
        <v>130</v>
      </c>
      <c r="D3" s="25" t="s">
        <v>131</v>
      </c>
      <c r="E3" s="25" t="s">
        <v>97</v>
      </c>
      <c r="F3" s="26" t="s">
        <v>13</v>
      </c>
      <c r="G3" s="26" t="s">
        <v>119</v>
      </c>
      <c r="H3" s="26" t="str">
        <f>J3</f>
        <v>unimproved area (Acre)</v>
      </c>
      <c r="I3" s="25" t="s">
        <v>7</v>
      </c>
      <c r="J3" s="26" t="s">
        <v>118</v>
      </c>
      <c r="K3" s="27" t="s">
        <v>102</v>
      </c>
      <c r="L3" s="24" t="s">
        <v>3</v>
      </c>
      <c r="M3" s="25" t="s">
        <v>4</v>
      </c>
      <c r="N3" s="28" t="s">
        <v>5</v>
      </c>
      <c r="O3" s="24" t="s">
        <v>3</v>
      </c>
      <c r="P3" s="25" t="s">
        <v>4</v>
      </c>
      <c r="Q3" s="28" t="s">
        <v>5</v>
      </c>
      <c r="R3" s="29" t="s">
        <v>3</v>
      </c>
      <c r="S3" s="25" t="s">
        <v>4</v>
      </c>
      <c r="T3" s="27" t="s">
        <v>5</v>
      </c>
      <c r="U3" s="24" t="s">
        <v>3</v>
      </c>
      <c r="V3" s="25" t="s">
        <v>4</v>
      </c>
      <c r="W3" s="28" t="s">
        <v>5</v>
      </c>
    </row>
    <row r="4" spans="2:23" ht="16.5" thickBot="1" x14ac:dyDescent="0.3">
      <c r="B4" s="30" t="s">
        <v>55</v>
      </c>
      <c r="C4" s="31" t="s">
        <v>51</v>
      </c>
      <c r="D4" s="31" t="s">
        <v>60</v>
      </c>
      <c r="E4" s="31" t="s">
        <v>52</v>
      </c>
      <c r="F4" s="32">
        <v>103.43770000000001</v>
      </c>
      <c r="G4" s="32">
        <v>18.040469054178146</v>
      </c>
      <c r="H4" s="66">
        <f t="shared" ref="H4:H10" si="0">J4</f>
        <v>85.39723094582186</v>
      </c>
      <c r="I4" s="32">
        <v>28.812051432506884</v>
      </c>
      <c r="J4" s="32">
        <v>85.39723094582186</v>
      </c>
      <c r="K4" s="33">
        <v>76.61999999999999</v>
      </c>
      <c r="L4" s="34">
        <v>2.4198023658282146</v>
      </c>
      <c r="M4" s="32">
        <v>1</v>
      </c>
      <c r="N4" s="35">
        <v>69.719470220744356</v>
      </c>
      <c r="O4" s="34">
        <v>2.7007605814991353</v>
      </c>
      <c r="P4" s="32">
        <v>1.1000000000000001</v>
      </c>
      <c r="Q4" s="35">
        <v>85.595898059144318</v>
      </c>
      <c r="R4" s="36">
        <v>2.9159959866119505</v>
      </c>
      <c r="S4" s="32">
        <v>1.2</v>
      </c>
      <c r="T4" s="37">
        <v>100.81899161189661</v>
      </c>
      <c r="U4" s="34">
        <v>3.1280094279425281</v>
      </c>
      <c r="V4" s="32">
        <v>1.25</v>
      </c>
      <c r="W4" s="38">
        <v>112.6554606490582</v>
      </c>
    </row>
    <row r="5" spans="2:23" ht="16.5" thickBot="1" x14ac:dyDescent="0.3">
      <c r="B5" s="39" t="s">
        <v>55</v>
      </c>
      <c r="C5" s="40" t="str">
        <f>Sheet1!B49</f>
        <v>RAMP 4</v>
      </c>
      <c r="D5" s="40" t="s">
        <v>60</v>
      </c>
      <c r="E5" s="40" t="s">
        <v>90</v>
      </c>
      <c r="F5" s="41">
        <f>Sheet1!E49</f>
        <v>43.357700000000001</v>
      </c>
      <c r="G5" s="41">
        <f>Sheet1!F49</f>
        <v>1.44</v>
      </c>
      <c r="H5" s="66">
        <f t="shared" si="0"/>
        <v>41.917700000000004</v>
      </c>
      <c r="I5" s="41">
        <f>Sheet1!G49</f>
        <v>5.4877700000000011</v>
      </c>
      <c r="J5" s="41">
        <f>Sheet1!H49</f>
        <v>41.917700000000004</v>
      </c>
      <c r="K5" s="42">
        <f>Sheet1!I49</f>
        <v>62</v>
      </c>
      <c r="L5" s="43">
        <f>Sheet1!J49</f>
        <v>2.8026954609863979</v>
      </c>
      <c r="M5" s="41">
        <f>Sheet1!K49</f>
        <v>1</v>
      </c>
      <c r="N5" s="44">
        <f>Sheet1!L49</f>
        <v>15.380548069937328</v>
      </c>
      <c r="O5" s="43">
        <f>Sheet1!M49</f>
        <v>3.1309743740122693</v>
      </c>
      <c r="P5" s="41">
        <f>Sheet1!N49</f>
        <v>1.1000000000000001</v>
      </c>
      <c r="Q5" s="44">
        <f>Sheet1!O49</f>
        <v>18.900273964520647</v>
      </c>
      <c r="R5" s="45">
        <f>Sheet1!P49</f>
        <v>3.3827849060504285</v>
      </c>
      <c r="S5" s="41">
        <f>Sheet1!Q49</f>
        <v>1.2</v>
      </c>
      <c r="T5" s="46">
        <f>Sheet1!R49</f>
        <v>22.276734628651635</v>
      </c>
      <c r="U5" s="43">
        <f>Sheet1!S49</f>
        <v>3.631174333038528</v>
      </c>
      <c r="V5" s="41">
        <f>Sheet1!T49</f>
        <v>1.25</v>
      </c>
      <c r="W5" s="47">
        <f>Sheet1!U49</f>
        <v>24.90881196202356</v>
      </c>
    </row>
    <row r="6" spans="2:23" ht="16.5" thickBot="1" x14ac:dyDescent="0.3">
      <c r="B6" s="39" t="str">
        <f>Sheet1!A53</f>
        <v xml:space="preserve">CULVERT </v>
      </c>
      <c r="C6" s="40" t="str">
        <f>Sheet1!B53</f>
        <v>RAMP2</v>
      </c>
      <c r="D6" s="40" t="str">
        <f>Sheet1!C53</f>
        <v>XS</v>
      </c>
      <c r="E6" s="40" t="str">
        <f>Sheet1!D53</f>
        <v>216+00</v>
      </c>
      <c r="F6" s="41">
        <f>Sheet1!E53</f>
        <v>6.9337</v>
      </c>
      <c r="G6" s="41">
        <f>Sheet1!F53</f>
        <v>0.34260000000000002</v>
      </c>
      <c r="H6" s="66">
        <f t="shared" si="0"/>
        <v>6.5911</v>
      </c>
      <c r="I6" s="41">
        <f>Sheet1!G53</f>
        <v>2.2856699999999996</v>
      </c>
      <c r="J6" s="41">
        <f>Sheet1!H53</f>
        <v>6.5911</v>
      </c>
      <c r="K6" s="42">
        <f>Sheet1!I53</f>
        <v>20</v>
      </c>
      <c r="L6" s="43">
        <f>Sheet1!J53</f>
        <v>5.1279883252709775</v>
      </c>
      <c r="M6" s="41">
        <f>Sheet1!K53</f>
        <v>1</v>
      </c>
      <c r="N6" s="44">
        <f>Sheet1!L53</f>
        <v>11.720889075422113</v>
      </c>
      <c r="O6" s="43">
        <f>Sheet1!M53</f>
        <v>5.7793620017604477</v>
      </c>
      <c r="P6" s="41">
        <f>Sheet1!N53</f>
        <v>1.1000000000000001</v>
      </c>
      <c r="Q6" s="44">
        <f>Sheet1!O53</f>
        <v>14.53068578122018</v>
      </c>
      <c r="R6" s="45">
        <f>Sheet1!P53</f>
        <v>6.2855184586943942</v>
      </c>
      <c r="S6" s="41">
        <f>Sheet1!Q53</f>
        <v>1.2</v>
      </c>
      <c r="T6" s="46">
        <f>Sheet1!R53</f>
        <v>17.239945170580814</v>
      </c>
      <c r="U6" s="43">
        <f>Sheet1!S53</f>
        <v>6.8456295772959823</v>
      </c>
      <c r="V6" s="41">
        <f>Sheet1!T53</f>
        <v>1.25</v>
      </c>
      <c r="W6" s="47">
        <f>Sheet1!U53</f>
        <v>19.558562694922632</v>
      </c>
    </row>
    <row r="7" spans="2:23" ht="16.5" thickBot="1" x14ac:dyDescent="0.3">
      <c r="B7" s="39" t="str">
        <f>Sheet1!A55</f>
        <v xml:space="preserve">CULVERT </v>
      </c>
      <c r="C7" s="40" t="s">
        <v>92</v>
      </c>
      <c r="D7" s="40" t="str">
        <f>Sheet1!C55</f>
        <v>XS</v>
      </c>
      <c r="E7" s="40" t="str">
        <f>Sheet1!D55</f>
        <v>219+00/144+79</v>
      </c>
      <c r="F7" s="41">
        <f>Sheet1!E55</f>
        <v>88.078299999999999</v>
      </c>
      <c r="G7" s="41">
        <f>Sheet1!F55</f>
        <v>9.3548451790633607</v>
      </c>
      <c r="H7" s="66">
        <f t="shared" si="0"/>
        <v>78.723454820936638</v>
      </c>
      <c r="I7" s="41">
        <f>Sheet1!G55</f>
        <v>18.701397107438019</v>
      </c>
      <c r="J7" s="41">
        <f>Sheet1!H55</f>
        <v>78.723454820936638</v>
      </c>
      <c r="K7" s="42">
        <f>Sheet1!I55</f>
        <v>82.98</v>
      </c>
      <c r="L7" s="43">
        <f>Sheet1!J55</f>
        <v>2.2839673698071761</v>
      </c>
      <c r="M7" s="41">
        <f>Sheet1!K55</f>
        <v>1</v>
      </c>
      <c r="N7" s="44">
        <f>Sheet1!L55</f>
        <v>42.713380763194742</v>
      </c>
      <c r="O7" s="43">
        <f>Sheet1!M55</f>
        <v>2.5484874286896297</v>
      </c>
      <c r="P7" s="41">
        <f>Sheet1!N55</f>
        <v>1.1000000000000001</v>
      </c>
      <c r="Q7" s="44">
        <f>Sheet1!O55</f>
        <v>52.426302969962244</v>
      </c>
      <c r="R7" s="45">
        <f>Sheet1!P55</f>
        <v>2.7510549820237573</v>
      </c>
      <c r="S7" s="41">
        <f>Sheet1!Q55</f>
        <v>1.2</v>
      </c>
      <c r="T7" s="46">
        <f>Sheet1!R55</f>
        <v>61.738286019866457</v>
      </c>
      <c r="U7" s="43">
        <f>Sheet1!S55</f>
        <v>2.992652446427857</v>
      </c>
      <c r="V7" s="41">
        <f>Sheet1!T55</f>
        <v>1.25</v>
      </c>
      <c r="W7" s="47">
        <f>Sheet1!U55</f>
        <v>69.958477256491548</v>
      </c>
    </row>
    <row r="8" spans="2:23" ht="16.5" thickBot="1" x14ac:dyDescent="0.3">
      <c r="B8" s="39" t="str">
        <f>Sheet1!A59</f>
        <v>CULVERT</v>
      </c>
      <c r="C8" s="40" t="str">
        <f>Sheet1!B59</f>
        <v>RAMP 3</v>
      </c>
      <c r="D8" s="40" t="str">
        <f>Sheet1!C59</f>
        <v>LT</v>
      </c>
      <c r="E8" s="40" t="str">
        <f>Sheet1!D59</f>
        <v>318+50</v>
      </c>
      <c r="F8" s="41">
        <f>Sheet1!E59</f>
        <v>10.6363</v>
      </c>
      <c r="G8" s="41">
        <f>Sheet1!F59</f>
        <v>3.0524698806244261</v>
      </c>
      <c r="H8" s="66">
        <f t="shared" si="0"/>
        <v>7.5838301193755733</v>
      </c>
      <c r="I8" s="41">
        <f>Sheet1!G59</f>
        <v>5.022371928374656</v>
      </c>
      <c r="J8" s="41">
        <f>Sheet1!H59</f>
        <v>7.5838301193755733</v>
      </c>
      <c r="K8" s="42">
        <f>Sheet1!I59</f>
        <v>16</v>
      </c>
      <c r="L8" s="43">
        <f>Sheet1!J59</f>
        <v>5.5666820761190863</v>
      </c>
      <c r="M8" s="41">
        <f>Sheet1!K59</f>
        <v>1</v>
      </c>
      <c r="N8" s="44">
        <f>Sheet1!L59</f>
        <v>27.957947793286849</v>
      </c>
      <c r="O8" s="43">
        <f>Sheet1!M59</f>
        <v>6.2865573285921874</v>
      </c>
      <c r="P8" s="41">
        <f>Sheet1!N59</f>
        <v>1.1000000000000001</v>
      </c>
      <c r="Q8" s="44">
        <f>Sheet1!O59</f>
        <v>34.730771958563309</v>
      </c>
      <c r="R8" s="45">
        <f>Sheet1!P59</f>
        <v>6.847696740137482</v>
      </c>
      <c r="S8" s="41">
        <f>Sheet1!Q59</f>
        <v>1.2</v>
      </c>
      <c r="T8" s="46">
        <f>Sheet1!R59</f>
        <v>41.270015858026952</v>
      </c>
      <c r="U8" s="43">
        <f>Sheet1!S59</f>
        <v>7.4100943163427635</v>
      </c>
      <c r="V8" s="41">
        <f>Sheet1!T59</f>
        <v>1.25</v>
      </c>
      <c r="W8" s="47">
        <f>Sheet1!U59</f>
        <v>46.5203121012606</v>
      </c>
    </row>
    <row r="9" spans="2:23" ht="16.5" thickBot="1" x14ac:dyDescent="0.3">
      <c r="B9" s="39" t="str">
        <f>Sheet1!A57</f>
        <v xml:space="preserve">CULVERT </v>
      </c>
      <c r="C9" s="40" t="str">
        <f>Sheet1!B57</f>
        <v>RAMP 4</v>
      </c>
      <c r="D9" s="40" t="str">
        <f>Sheet1!C57</f>
        <v>XS</v>
      </c>
      <c r="E9" s="40" t="str">
        <f>Sheet1!D57</f>
        <v>421+50</v>
      </c>
      <c r="F9" s="41">
        <f>Sheet1!E57</f>
        <v>95.488299999999995</v>
      </c>
      <c r="G9" s="41">
        <f>Sheet1!F57</f>
        <v>11.382245179063361</v>
      </c>
      <c r="H9" s="66">
        <f t="shared" si="0"/>
        <v>84.106054820936635</v>
      </c>
      <c r="I9" s="41">
        <f>Sheet1!G57</f>
        <v>22.140837107438021</v>
      </c>
      <c r="J9" s="41">
        <f>Sheet1!H57</f>
        <v>84.106054820936635</v>
      </c>
      <c r="K9" s="42">
        <f>Sheet1!I57</f>
        <v>82.98</v>
      </c>
      <c r="L9" s="43">
        <f>Sheet1!J57</f>
        <v>2.2839673698071761</v>
      </c>
      <c r="M9" s="41">
        <f>Sheet1!K57</f>
        <v>1</v>
      </c>
      <c r="N9" s="44">
        <f>Sheet1!L57</f>
        <v>50.568949493604343</v>
      </c>
      <c r="O9" s="43">
        <f>Sheet1!M57</f>
        <v>2.5484874286896297</v>
      </c>
      <c r="P9" s="41">
        <f>Sheet1!N57</f>
        <v>1.1000000000000001</v>
      </c>
      <c r="Q9" s="44">
        <f>Sheet1!O57</f>
        <v>62.06820953186773</v>
      </c>
      <c r="R9" s="45">
        <f>Sheet1!P57</f>
        <v>2.7510549820237573</v>
      </c>
      <c r="S9" s="41">
        <f>Sheet1!Q57</f>
        <v>1.2</v>
      </c>
      <c r="T9" s="46">
        <f>Sheet1!R57</f>
        <v>73.092792276712615</v>
      </c>
      <c r="U9" s="43">
        <f>Sheet1!S57</f>
        <v>2.992652446427857</v>
      </c>
      <c r="V9" s="41">
        <f>Sheet1!T57</f>
        <v>1.25</v>
      </c>
      <c r="W9" s="47">
        <f>Sheet1!U57</f>
        <v>82.824787919418839</v>
      </c>
    </row>
    <row r="10" spans="2:23" ht="16.5" thickBot="1" x14ac:dyDescent="0.3">
      <c r="B10" s="24" t="str">
        <f>Sheet1!A58</f>
        <v>CULVERT</v>
      </c>
      <c r="C10" s="25" t="str">
        <f>Sheet1!B58</f>
        <v>RAMP3</v>
      </c>
      <c r="D10" s="25" t="str">
        <f>Sheet1!C58</f>
        <v>XS</v>
      </c>
      <c r="E10" s="25" t="str">
        <f>Sheet1!D58</f>
        <v>312+18</v>
      </c>
      <c r="F10" s="48">
        <f>Sheet1!E58</f>
        <v>96.428299999999993</v>
      </c>
      <c r="G10" s="48">
        <f>Sheet1!F58</f>
        <v>11.581145179063361</v>
      </c>
      <c r="H10" s="66">
        <f t="shared" si="0"/>
        <v>84.847154820936638</v>
      </c>
      <c r="I10" s="48">
        <f>Sheet1!G58</f>
        <v>22.542177107438022</v>
      </c>
      <c r="J10" s="48">
        <f>Sheet1!H58</f>
        <v>84.847154820936638</v>
      </c>
      <c r="K10" s="49">
        <f>Sheet1!I58</f>
        <v>82.98</v>
      </c>
      <c r="L10" s="50">
        <f>Sheet1!J58</f>
        <v>2.2839673698071761</v>
      </c>
      <c r="M10" s="48">
        <f>Sheet1!K58</f>
        <v>1</v>
      </c>
      <c r="N10" s="51">
        <f>Sheet1!L58</f>
        <v>51.485596957802755</v>
      </c>
      <c r="O10" s="50">
        <f>Sheet1!M58</f>
        <v>2.5484874286896297</v>
      </c>
      <c r="P10" s="48">
        <f>Sheet1!N58</f>
        <v>1.1000000000000001</v>
      </c>
      <c r="Q10" s="51">
        <f>Sheet1!O58</f>
        <v>63.193300470961063</v>
      </c>
      <c r="R10" s="52">
        <f>Sheet1!P58</f>
        <v>2.7510549820237573</v>
      </c>
      <c r="S10" s="48">
        <f>Sheet1!Q58</f>
        <v>1.2</v>
      </c>
      <c r="T10" s="53">
        <f>Sheet1!R58</f>
        <v>74.417722364495106</v>
      </c>
      <c r="U10" s="50">
        <f>Sheet1!S58</f>
        <v>2.992652446427857</v>
      </c>
      <c r="V10" s="48">
        <f>Sheet1!T58</f>
        <v>1.25</v>
      </c>
      <c r="W10" s="54">
        <f>Sheet1!U58</f>
        <v>84.326126835480537</v>
      </c>
    </row>
    <row r="11" spans="2:23" x14ac:dyDescent="0.25">
      <c r="B11" s="55"/>
      <c r="C11" s="55"/>
      <c r="D11" s="55"/>
      <c r="E11" s="55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</row>
    <row r="12" spans="2:23" x14ac:dyDescent="0.25">
      <c r="B12" s="55"/>
      <c r="C12" s="55"/>
      <c r="D12" s="55"/>
      <c r="E12" s="55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</row>
    <row r="13" spans="2:23" x14ac:dyDescent="0.25">
      <c r="B13" s="55"/>
      <c r="C13" s="55"/>
      <c r="D13" s="55"/>
      <c r="E13" s="55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</row>
    <row r="14" spans="2:23" ht="16.5" thickBot="1" x14ac:dyDescent="0.3">
      <c r="B14" s="55"/>
      <c r="C14" s="55"/>
      <c r="D14" s="55"/>
      <c r="E14" s="55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</row>
    <row r="15" spans="2:23" x14ac:dyDescent="0.25">
      <c r="B15" s="21"/>
      <c r="C15" s="22"/>
      <c r="D15" s="22"/>
      <c r="E15" s="22"/>
      <c r="F15" s="22"/>
      <c r="G15" s="22" t="s">
        <v>132</v>
      </c>
      <c r="H15" s="22" t="s">
        <v>133</v>
      </c>
      <c r="I15" s="22"/>
      <c r="J15" s="22"/>
      <c r="K15" s="23"/>
      <c r="L15" s="90" t="s">
        <v>15</v>
      </c>
      <c r="M15" s="88"/>
      <c r="N15" s="89"/>
      <c r="O15" s="90" t="s">
        <v>16</v>
      </c>
      <c r="P15" s="88"/>
      <c r="Q15" s="89"/>
      <c r="R15" s="91" t="s">
        <v>1</v>
      </c>
      <c r="S15" s="88"/>
      <c r="T15" s="89"/>
      <c r="U15" s="90" t="s">
        <v>6</v>
      </c>
      <c r="V15" s="88"/>
      <c r="W15" s="89"/>
    </row>
    <row r="16" spans="2:23" ht="32.25" thickBot="1" x14ac:dyDescent="0.3">
      <c r="B16" s="24" t="s">
        <v>129</v>
      </c>
      <c r="C16" s="25" t="s">
        <v>130</v>
      </c>
      <c r="D16" s="25" t="s">
        <v>131</v>
      </c>
      <c r="E16" s="25" t="s">
        <v>97</v>
      </c>
      <c r="F16" s="26" t="s">
        <v>13</v>
      </c>
      <c r="G16" s="26" t="s">
        <v>119</v>
      </c>
      <c r="H16" s="26" t="str">
        <f>J16</f>
        <v>unimproved area (Acre)</v>
      </c>
      <c r="I16" s="25" t="s">
        <v>7</v>
      </c>
      <c r="J16" s="26" t="s">
        <v>118</v>
      </c>
      <c r="K16" s="27" t="s">
        <v>102</v>
      </c>
      <c r="L16" s="24" t="s">
        <v>3</v>
      </c>
      <c r="M16" s="25" t="s">
        <v>4</v>
      </c>
      <c r="N16" s="28" t="s">
        <v>5</v>
      </c>
      <c r="O16" s="24" t="s">
        <v>3</v>
      </c>
      <c r="P16" s="25" t="s">
        <v>4</v>
      </c>
      <c r="Q16" s="28" t="s">
        <v>5</v>
      </c>
      <c r="R16" s="29" t="s">
        <v>3</v>
      </c>
      <c r="S16" s="25" t="s">
        <v>4</v>
      </c>
      <c r="T16" s="28" t="s">
        <v>5</v>
      </c>
      <c r="U16" s="24" t="s">
        <v>3</v>
      </c>
      <c r="V16" s="25" t="s">
        <v>4</v>
      </c>
      <c r="W16" s="28" t="s">
        <v>5</v>
      </c>
    </row>
    <row r="17" spans="2:23" x14ac:dyDescent="0.25">
      <c r="B17" s="30" t="s">
        <v>95</v>
      </c>
      <c r="C17" s="31" t="str">
        <f>Sheet1!B50</f>
        <v>EB</v>
      </c>
      <c r="D17" s="31" t="s">
        <v>50</v>
      </c>
      <c r="E17" s="31" t="s">
        <v>96</v>
      </c>
      <c r="F17" s="32">
        <f>Sheet1!E50</f>
        <v>55.217700000000001</v>
      </c>
      <c r="G17" s="32">
        <f>Sheet1!F50</f>
        <v>6.26707217630854</v>
      </c>
      <c r="H17" s="32">
        <f>J17</f>
        <v>48.950627823691462</v>
      </c>
      <c r="I17" s="32">
        <f>Sheet1!G50</f>
        <v>11.942013305785125</v>
      </c>
      <c r="J17" s="32">
        <f>Sheet1!H50</f>
        <v>48.950627823691462</v>
      </c>
      <c r="K17" s="33">
        <f>Sheet1!I50</f>
        <v>77</v>
      </c>
      <c r="L17" s="34">
        <f>Sheet1!J50</f>
        <v>2.4112358617159497</v>
      </c>
      <c r="M17" s="32">
        <f>Sheet1!K50</f>
        <v>1</v>
      </c>
      <c r="N17" s="35">
        <f>Sheet1!L50</f>
        <v>28.795010743998134</v>
      </c>
      <c r="O17" s="34">
        <f>Sheet1!M50</f>
        <v>2.6911521450149936</v>
      </c>
      <c r="P17" s="32">
        <f>Sheet1!N50</f>
        <v>1.1000000000000001</v>
      </c>
      <c r="Q17" s="35">
        <f>Sheet1!O50</f>
        <v>35.351552196027356</v>
      </c>
      <c r="R17" s="36">
        <f>Sheet1!P50</f>
        <v>2.9055840362135315</v>
      </c>
      <c r="S17" s="32">
        <f>Sheet1!Q50</f>
        <v>1.2</v>
      </c>
      <c r="T17" s="57">
        <f>Sheet1!R50</f>
        <v>41.638227865846609</v>
      </c>
      <c r="U17" s="32">
        <f>Sheet1!S50</f>
        <v>3.1604772533941734</v>
      </c>
      <c r="V17" s="32">
        <f>Sheet1!T50</f>
        <v>1.25</v>
      </c>
      <c r="W17" s="38">
        <f>Sheet1!U50</f>
        <v>47.178076765830554</v>
      </c>
    </row>
    <row r="18" spans="2:23" x14ac:dyDescent="0.25">
      <c r="B18" s="39" t="s">
        <v>95</v>
      </c>
      <c r="C18" s="40" t="s">
        <v>77</v>
      </c>
      <c r="D18" s="40" t="s">
        <v>69</v>
      </c>
      <c r="E18" s="40" t="s">
        <v>98</v>
      </c>
      <c r="F18" s="41">
        <f>Sheet1!E60</f>
        <v>2.44</v>
      </c>
      <c r="G18" s="41">
        <f>Sheet1!F60</f>
        <v>0.96494600550964194</v>
      </c>
      <c r="H18" s="32">
        <f t="shared" ref="H18:H35" si="1">J18</f>
        <v>1.475053994490358</v>
      </c>
      <c r="I18" s="41">
        <f>Sheet1!G60</f>
        <v>1.3109676033057851</v>
      </c>
      <c r="J18" s="41">
        <f>Sheet1!H60</f>
        <v>1.475053994490358</v>
      </c>
      <c r="K18" s="42">
        <f>Sheet1!I60</f>
        <v>5</v>
      </c>
      <c r="L18" s="43">
        <f>Sheet1!J60</f>
        <v>7.2764880427313479</v>
      </c>
      <c r="M18" s="41">
        <f>Sheet1!K60</f>
        <v>1</v>
      </c>
      <c r="N18" s="44">
        <f>Sheet1!L60</f>
        <v>9.5392400898627177</v>
      </c>
      <c r="O18" s="43">
        <f>Sheet1!M60</f>
        <v>8.2882042507758182</v>
      </c>
      <c r="P18" s="41">
        <f>Sheet1!N60</f>
        <v>1.1000000000000001</v>
      </c>
      <c r="Q18" s="44">
        <f>Sheet1!O60</f>
        <v>11.952123988583235</v>
      </c>
      <c r="R18" s="45">
        <f>Sheet1!P60</f>
        <v>9.0876517826637997</v>
      </c>
      <c r="S18" s="41">
        <f>Sheet1!Q60</f>
        <v>1.2</v>
      </c>
      <c r="T18" s="58">
        <f>Sheet1!R60</f>
        <v>14.296340492635569</v>
      </c>
      <c r="U18" s="41">
        <f>Sheet1!S60</f>
        <v>9.8994696225611225</v>
      </c>
      <c r="V18" s="41">
        <f>Sheet1!T60</f>
        <v>1.25</v>
      </c>
      <c r="W18" s="47">
        <f>Sheet1!U60</f>
        <v>16.222354956359226</v>
      </c>
    </row>
    <row r="19" spans="2:23" x14ac:dyDescent="0.25">
      <c r="B19" s="39" t="s">
        <v>95</v>
      </c>
      <c r="C19" s="40" t="s">
        <v>101</v>
      </c>
      <c r="D19" s="40" t="s">
        <v>50</v>
      </c>
      <c r="E19" s="40" t="s">
        <v>100</v>
      </c>
      <c r="F19" s="41">
        <f>Sheet1!E52</f>
        <v>80.227699999999999</v>
      </c>
      <c r="G19" s="41">
        <f>Sheet1!F52</f>
        <v>7.8062181818181822</v>
      </c>
      <c r="H19" s="32">
        <f t="shared" si="1"/>
        <v>72.421481818181817</v>
      </c>
      <c r="I19" s="41">
        <f>Sheet1!G52</f>
        <v>15.70850090909091</v>
      </c>
      <c r="J19" s="41">
        <f>Sheet1!H52</f>
        <v>72.421481818181817</v>
      </c>
      <c r="K19" s="42">
        <f>Sheet1!I52</f>
        <v>66.179999999999993</v>
      </c>
      <c r="L19" s="43">
        <f>Sheet1!J52</f>
        <v>2.6814319161120563</v>
      </c>
      <c r="M19" s="41">
        <f>Sheet1!K52</f>
        <v>1</v>
      </c>
      <c r="N19" s="44">
        <f>Sheet1!L52</f>
        <v>42.12127569191162</v>
      </c>
      <c r="O19" s="43">
        <f>Sheet1!M52</f>
        <v>2.9945625984021031</v>
      </c>
      <c r="P19" s="41">
        <f>Sheet1!N52</f>
        <v>1.1000000000000001</v>
      </c>
      <c r="Q19" s="44">
        <f>Sheet1!O52</f>
        <v>51.744098229261986</v>
      </c>
      <c r="R19" s="45">
        <f>Sheet1!P52</f>
        <v>3.2346469604520989</v>
      </c>
      <c r="S19" s="41">
        <f>Sheet1!Q52</f>
        <v>1.2</v>
      </c>
      <c r="T19" s="58">
        <f>Sheet1!R52</f>
        <v>60.973745662619933</v>
      </c>
      <c r="U19" s="41">
        <f>Sheet1!S52</f>
        <v>3.5179939199942258</v>
      </c>
      <c r="V19" s="41">
        <f>Sheet1!T52</f>
        <v>1.25</v>
      </c>
      <c r="W19" s="47">
        <f>Sheet1!U52</f>
        <v>69.078013363006988</v>
      </c>
    </row>
    <row r="20" spans="2:23" x14ac:dyDescent="0.25">
      <c r="B20" s="39" t="s">
        <v>95</v>
      </c>
      <c r="C20" s="40" t="s">
        <v>49</v>
      </c>
      <c r="D20" s="40" t="s">
        <v>60</v>
      </c>
      <c r="E20" s="40" t="s">
        <v>134</v>
      </c>
      <c r="F20" s="41">
        <f>Sheet1!E17</f>
        <v>1.61</v>
      </c>
      <c r="G20" s="41">
        <f>Sheet1!F17</f>
        <v>1.2996584022038569</v>
      </c>
      <c r="H20" s="32">
        <f t="shared" si="1"/>
        <v>0.31034159779614323</v>
      </c>
      <c r="I20" s="41">
        <f>Sheet1!G17</f>
        <v>1.2627950413223141</v>
      </c>
      <c r="J20" s="41">
        <f>Sheet1!H17</f>
        <v>0.31034159779614323</v>
      </c>
      <c r="K20" s="42">
        <f>Sheet1!I17</f>
        <v>5</v>
      </c>
      <c r="L20" s="43">
        <f>Sheet1!J17</f>
        <v>7.2764880427313479</v>
      </c>
      <c r="M20" s="41">
        <f>Sheet1!K17</f>
        <v>1</v>
      </c>
      <c r="N20" s="44">
        <f>Sheet1!L17</f>
        <v>9.1887130186022574</v>
      </c>
      <c r="O20" s="43">
        <f>Sheet1!M17</f>
        <v>8.2882042507758182</v>
      </c>
      <c r="P20" s="41">
        <f>Sheet1!N17</f>
        <v>1.1000000000000001</v>
      </c>
      <c r="Q20" s="44">
        <f>Sheet1!O17</f>
        <v>11.512933552280852</v>
      </c>
      <c r="R20" s="45">
        <f>Sheet1!P17</f>
        <v>9.0876517826637997</v>
      </c>
      <c r="S20" s="41">
        <f>Sheet1!Q17</f>
        <v>1.2</v>
      </c>
      <c r="T20" s="58">
        <f>Sheet1!R17</f>
        <v>13.771009930094081</v>
      </c>
      <c r="U20" s="41">
        <f>Sheet1!S17</f>
        <v>9.8994696225611225</v>
      </c>
      <c r="V20" s="41">
        <f>Sheet1!T17</f>
        <v>1.25</v>
      </c>
      <c r="W20" s="47">
        <f>Sheet1!U17</f>
        <v>15.626251438863832</v>
      </c>
    </row>
    <row r="21" spans="2:23" x14ac:dyDescent="0.25">
      <c r="B21" s="39" t="s">
        <v>95</v>
      </c>
      <c r="C21" s="40" t="s">
        <v>49</v>
      </c>
      <c r="D21" s="40" t="s">
        <v>60</v>
      </c>
      <c r="E21" s="40" t="s">
        <v>103</v>
      </c>
      <c r="F21" s="41">
        <f>Sheet1!E12</f>
        <v>0.99</v>
      </c>
      <c r="G21" s="41">
        <f>Sheet1!F12</f>
        <v>0.79834710743801651</v>
      </c>
      <c r="H21" s="32">
        <f t="shared" si="1"/>
        <v>0.19165289256198348</v>
      </c>
      <c r="I21" s="41">
        <f>Sheet1!G12</f>
        <v>0.7760082644628099</v>
      </c>
      <c r="J21" s="41">
        <f>Sheet1!H12</f>
        <v>0.19165289256198348</v>
      </c>
      <c r="K21" s="42">
        <f>Sheet1!I12</f>
        <v>5</v>
      </c>
      <c r="L21" s="43">
        <f>Sheet1!J12</f>
        <v>7.2764880427313479</v>
      </c>
      <c r="M21" s="41">
        <f>Sheet1!K12</f>
        <v>1</v>
      </c>
      <c r="N21" s="44">
        <f>Sheet1!L12</f>
        <v>5.6466148574243418</v>
      </c>
      <c r="O21" s="43">
        <f>Sheet1!M12</f>
        <v>8.2882042507758182</v>
      </c>
      <c r="P21" s="41">
        <f>Sheet1!N12</f>
        <v>1.1000000000000001</v>
      </c>
      <c r="Q21" s="44">
        <f>Sheet1!O12</f>
        <v>7.0748864957736091</v>
      </c>
      <c r="R21" s="45">
        <f>Sheet1!P12</f>
        <v>9.0876517826637997</v>
      </c>
      <c r="S21" s="41">
        <f>Sheet1!Q12</f>
        <v>1.2</v>
      </c>
      <c r="T21" s="58">
        <f>Sheet1!R12</f>
        <v>8.4625114654887543</v>
      </c>
      <c r="U21" s="41">
        <f>Sheet1!S12</f>
        <v>9.8994696225611225</v>
      </c>
      <c r="V21" s="41">
        <f>Sheet1!T12</f>
        <v>1.25</v>
      </c>
      <c r="W21" s="47">
        <f>Sheet1!U12</f>
        <v>9.6025878011324561</v>
      </c>
    </row>
    <row r="22" spans="2:23" x14ac:dyDescent="0.25">
      <c r="B22" s="39" t="s">
        <v>95</v>
      </c>
      <c r="C22" s="40" t="s">
        <v>49</v>
      </c>
      <c r="D22" s="40" t="s">
        <v>60</v>
      </c>
      <c r="E22" s="40" t="s">
        <v>104</v>
      </c>
      <c r="F22" s="41">
        <f>Sheet1!E13</f>
        <v>1.58</v>
      </c>
      <c r="G22" s="41">
        <f>Sheet1!F13</f>
        <v>1.2756657483930212</v>
      </c>
      <c r="H22" s="32">
        <f t="shared" si="1"/>
        <v>0.30433425160697891</v>
      </c>
      <c r="I22" s="41">
        <f>Sheet1!G13</f>
        <v>1.2393994490358129</v>
      </c>
      <c r="J22" s="41">
        <f>Sheet1!H13</f>
        <v>0.30433425160697891</v>
      </c>
      <c r="K22" s="42">
        <f>Sheet1!I13</f>
        <v>5</v>
      </c>
      <c r="L22" s="43">
        <f>Sheet1!J13</f>
        <v>7.2764880427313479</v>
      </c>
      <c r="M22" s="41">
        <f>Sheet1!K13</f>
        <v>1</v>
      </c>
      <c r="N22" s="44">
        <f>Sheet1!L13</f>
        <v>9.0184752710769125</v>
      </c>
      <c r="O22" s="43">
        <f>Sheet1!M13</f>
        <v>8.2882042507758182</v>
      </c>
      <c r="P22" s="41">
        <f>Sheet1!N13</f>
        <v>1.1000000000000001</v>
      </c>
      <c r="Q22" s="44">
        <f>Sheet1!O13</f>
        <v>11.299635360098616</v>
      </c>
      <c r="R22" s="45">
        <f>Sheet1!P13</f>
        <v>9.0876517826637997</v>
      </c>
      <c r="S22" s="41">
        <f>Sheet1!Q13</f>
        <v>1.2</v>
      </c>
      <c r="T22" s="58">
        <f>Sheet1!R13</f>
        <v>13.515876734955404</v>
      </c>
      <c r="U22" s="41">
        <f>Sheet1!S13</f>
        <v>9.8994696225611225</v>
      </c>
      <c r="V22" s="41">
        <f>Sheet1!T13</f>
        <v>1.25</v>
      </c>
      <c r="W22" s="47">
        <f>Sheet1!U13</f>
        <v>15.336746494936277</v>
      </c>
    </row>
    <row r="23" spans="2:23" x14ac:dyDescent="0.25">
      <c r="B23" s="39" t="s">
        <v>95</v>
      </c>
      <c r="C23" s="40" t="s">
        <v>49</v>
      </c>
      <c r="D23" s="40" t="s">
        <v>60</v>
      </c>
      <c r="E23" s="40" t="s">
        <v>105</v>
      </c>
      <c r="F23" s="41">
        <f>Sheet1!E14</f>
        <v>0.84</v>
      </c>
      <c r="G23" s="41">
        <f>Sheet1!F14</f>
        <v>0.68007346189164375</v>
      </c>
      <c r="H23" s="32">
        <f t="shared" si="1"/>
        <v>0.15992653810835622</v>
      </c>
      <c r="I23" s="41">
        <f>Sheet1!G14</f>
        <v>0.66004407713498625</v>
      </c>
      <c r="J23" s="41">
        <f>Sheet1!H14</f>
        <v>0.15992653810835622</v>
      </c>
      <c r="K23" s="42">
        <f>Sheet1!I14</f>
        <v>5</v>
      </c>
      <c r="L23" s="43">
        <f>Sheet1!J14</f>
        <v>7.2764880427313479</v>
      </c>
      <c r="M23" s="41">
        <f>Sheet1!K14</f>
        <v>1</v>
      </c>
      <c r="N23" s="44">
        <f>Sheet1!L14</f>
        <v>4.8028028349483751</v>
      </c>
      <c r="O23" s="43">
        <f>Sheet1!M14</f>
        <v>8.2882042507758182</v>
      </c>
      <c r="P23" s="41">
        <f>Sheet1!N14</f>
        <v>1.1000000000000001</v>
      </c>
      <c r="Q23" s="44">
        <f>Sheet1!O14</f>
        <v>6.0176381383905548</v>
      </c>
      <c r="R23" s="45">
        <f>Sheet1!P14</f>
        <v>9.0876517826637997</v>
      </c>
      <c r="S23" s="41">
        <f>Sheet1!Q14</f>
        <v>1.2</v>
      </c>
      <c r="T23" s="58">
        <f>Sheet1!R14</f>
        <v>7.1979008810549283</v>
      </c>
      <c r="U23" s="41">
        <f>Sheet1!S14</f>
        <v>9.8994696225611225</v>
      </c>
      <c r="V23" s="41">
        <f>Sheet1!T14</f>
        <v>1.25</v>
      </c>
      <c r="W23" s="47">
        <f>Sheet1!U14</f>
        <v>8.1676078639364835</v>
      </c>
    </row>
    <row r="24" spans="2:23" x14ac:dyDescent="0.25">
      <c r="B24" s="39" t="s">
        <v>95</v>
      </c>
      <c r="C24" s="40" t="s">
        <v>77</v>
      </c>
      <c r="D24" s="40" t="s">
        <v>60</v>
      </c>
      <c r="E24" s="40" t="s">
        <v>106</v>
      </c>
      <c r="F24" s="41">
        <f>Sheet1!E16</f>
        <v>0.98</v>
      </c>
      <c r="G24" s="41">
        <f>Sheet1!F16</f>
        <v>0.79201101928374651</v>
      </c>
      <c r="H24" s="32">
        <f t="shared" si="1"/>
        <v>0.18798898071625347</v>
      </c>
      <c r="I24" s="41">
        <f>Sheet1!G16</f>
        <v>0.76920661157024794</v>
      </c>
      <c r="J24" s="41">
        <f>Sheet1!H16</f>
        <v>0.18798898071625347</v>
      </c>
      <c r="K24" s="42">
        <f>Sheet1!I16</f>
        <v>5</v>
      </c>
      <c r="L24" s="43">
        <f>Sheet1!J16</f>
        <v>7.2764880427313479</v>
      </c>
      <c r="M24" s="41">
        <f>Sheet1!K16</f>
        <v>1</v>
      </c>
      <c r="N24" s="44">
        <f>Sheet1!L16</f>
        <v>5.5971227114808055</v>
      </c>
      <c r="O24" s="43">
        <f>Sheet1!M16</f>
        <v>8.2882042507758182</v>
      </c>
      <c r="P24" s="41">
        <f>Sheet1!N16</f>
        <v>1.1000000000000001</v>
      </c>
      <c r="Q24" s="44">
        <f>Sheet1!O16</f>
        <v>7.0128756585155321</v>
      </c>
      <c r="R24" s="45">
        <f>Sheet1!P16</f>
        <v>9.0876517826637997</v>
      </c>
      <c r="S24" s="41">
        <f>Sheet1!Q16</f>
        <v>1.2</v>
      </c>
      <c r="T24" s="58">
        <f>Sheet1!R16</f>
        <v>8.3883382018477732</v>
      </c>
      <c r="U24" s="41">
        <f>Sheet1!S16</f>
        <v>9.8994696225611225</v>
      </c>
      <c r="V24" s="41">
        <f>Sheet1!T16</f>
        <v>1.25</v>
      </c>
      <c r="W24" s="47">
        <f>Sheet1!U16</f>
        <v>9.5184218558910523</v>
      </c>
    </row>
    <row r="25" spans="2:23" x14ac:dyDescent="0.25">
      <c r="B25" s="39" t="s">
        <v>95</v>
      </c>
      <c r="C25" s="40" t="s">
        <v>77</v>
      </c>
      <c r="D25" s="40" t="s">
        <v>60</v>
      </c>
      <c r="E25" s="40" t="s">
        <v>107</v>
      </c>
      <c r="F25" s="41">
        <f>Sheet1!E18</f>
        <v>0.62</v>
      </c>
      <c r="G25" s="41">
        <f>Sheet1!F18</f>
        <v>0.99054178145087235</v>
      </c>
      <c r="H25" s="32">
        <f t="shared" si="1"/>
        <v>-0.37054178145087235</v>
      </c>
      <c r="I25" s="41">
        <f>Sheet1!G18</f>
        <v>0.78032506887052344</v>
      </c>
      <c r="J25" s="41">
        <f>Sheet1!H18</f>
        <v>-0.37054178145087235</v>
      </c>
      <c r="K25" s="42">
        <f>Sheet1!I18</f>
        <v>5</v>
      </c>
      <c r="L25" s="43">
        <f>Sheet1!J18</f>
        <v>7.2764880427313479</v>
      </c>
      <c r="M25" s="41">
        <f>Sheet1!K18</f>
        <v>1</v>
      </c>
      <c r="N25" s="44">
        <f>Sheet1!L18</f>
        <v>5.6780260330798793</v>
      </c>
      <c r="O25" s="43">
        <f>Sheet1!M18</f>
        <v>8.2882042507758182</v>
      </c>
      <c r="P25" s="41">
        <f>Sheet1!N18</f>
        <v>1.1000000000000001</v>
      </c>
      <c r="Q25" s="44">
        <f>Sheet1!O18</f>
        <v>7.1142429080795662</v>
      </c>
      <c r="R25" s="45">
        <f>Sheet1!P18</f>
        <v>9.0876517826637997</v>
      </c>
      <c r="S25" s="41">
        <f>Sheet1!Q18</f>
        <v>1.2</v>
      </c>
      <c r="T25" s="58">
        <f>Sheet1!R18</f>
        <v>8.5095870038141577</v>
      </c>
      <c r="U25" s="41">
        <f>Sheet1!S18</f>
        <v>9.8994696225611225</v>
      </c>
      <c r="V25" s="41">
        <f>Sheet1!T18</f>
        <v>1.25</v>
      </c>
      <c r="W25" s="47">
        <f>Sheet1!U18</f>
        <v>9.6560053937583277</v>
      </c>
    </row>
    <row r="26" spans="2:23" x14ac:dyDescent="0.25">
      <c r="B26" s="39" t="s">
        <v>95</v>
      </c>
      <c r="C26" s="40" t="s">
        <v>77</v>
      </c>
      <c r="D26" s="40" t="s">
        <v>60</v>
      </c>
      <c r="E26" s="40" t="s">
        <v>108</v>
      </c>
      <c r="F26" s="41">
        <f>Sheet1!E19</f>
        <v>1.74</v>
      </c>
      <c r="G26" s="41">
        <f>Sheet1!F19</f>
        <v>1.4044995408631773</v>
      </c>
      <c r="H26" s="32">
        <f t="shared" si="1"/>
        <v>0.33550045913682269</v>
      </c>
      <c r="I26" s="41">
        <f>Sheet1!G19</f>
        <v>1.3646997245179064</v>
      </c>
      <c r="J26" s="41">
        <f>Sheet1!H19</f>
        <v>0.33550045913682269</v>
      </c>
      <c r="K26" s="42">
        <f>Sheet1!I19</f>
        <v>5</v>
      </c>
      <c r="L26" s="43">
        <f>Sheet1!J19</f>
        <v>7.2764880427313479</v>
      </c>
      <c r="M26" s="41">
        <f>Sheet1!K19</f>
        <v>1</v>
      </c>
      <c r="N26" s="44">
        <f>Sheet1!L19</f>
        <v>9.9302212273733108</v>
      </c>
      <c r="O26" s="43">
        <f>Sheet1!M19</f>
        <v>8.2882042507758182</v>
      </c>
      <c r="P26" s="41">
        <f>Sheet1!N19</f>
        <v>1.1000000000000001</v>
      </c>
      <c r="Q26" s="44">
        <f>Sheet1!O19</f>
        <v>12.442001063560092</v>
      </c>
      <c r="R26" s="45">
        <f>Sheet1!P19</f>
        <v>9.0876517826637997</v>
      </c>
      <c r="S26" s="41">
        <f>Sheet1!Q19</f>
        <v>1.2</v>
      </c>
      <c r="T26" s="58">
        <f>Sheet1!R19</f>
        <v>14.88229906117914</v>
      </c>
      <c r="U26" s="41">
        <f>Sheet1!S19</f>
        <v>9.8994696225611225</v>
      </c>
      <c r="V26" s="41">
        <f>Sheet1!T19</f>
        <v>1.25</v>
      </c>
      <c r="W26" s="47">
        <f>Sheet1!U19</f>
        <v>16.887254333478182</v>
      </c>
    </row>
    <row r="27" spans="2:23" x14ac:dyDescent="0.25">
      <c r="B27" s="39" t="s">
        <v>95</v>
      </c>
      <c r="C27" s="40" t="s">
        <v>49</v>
      </c>
      <c r="D27" s="40" t="s">
        <v>60</v>
      </c>
      <c r="E27" s="40" t="s">
        <v>109</v>
      </c>
      <c r="F27" s="41">
        <f>Sheet1!E20</f>
        <v>0.52</v>
      </c>
      <c r="G27" s="41">
        <f>Sheet1!F20</f>
        <v>0.42029384756657484</v>
      </c>
      <c r="H27" s="32">
        <f t="shared" si="1"/>
        <v>9.9706152433425177E-2</v>
      </c>
      <c r="I27" s="41">
        <f>Sheet1!G20</f>
        <v>0.40817630853994491</v>
      </c>
      <c r="J27" s="41">
        <f>Sheet1!H20</f>
        <v>9.9706152433425177E-2</v>
      </c>
      <c r="K27" s="42">
        <f>Sheet1!I20</f>
        <v>5</v>
      </c>
      <c r="L27" s="43">
        <f>Sheet1!J20</f>
        <v>7.2764880427313479</v>
      </c>
      <c r="M27" s="41">
        <f>Sheet1!K20</f>
        <v>1</v>
      </c>
      <c r="N27" s="44">
        <f>Sheet1!L20</f>
        <v>2.9700900284171303</v>
      </c>
      <c r="O27" s="43">
        <f>Sheet1!M20</f>
        <v>8.2882042507758182</v>
      </c>
      <c r="P27" s="41">
        <f>Sheet1!N20</f>
        <v>1.1000000000000001</v>
      </c>
      <c r="Q27" s="44">
        <f>Sheet1!O20</f>
        <v>3.7213534770574288</v>
      </c>
      <c r="R27" s="45">
        <f>Sheet1!P20</f>
        <v>9.0876517826637997</v>
      </c>
      <c r="S27" s="41">
        <f>Sheet1!Q20</f>
        <v>1.2</v>
      </c>
      <c r="T27" s="58">
        <f>Sheet1!R20</f>
        <v>4.4512369895329913</v>
      </c>
      <c r="U27" s="41">
        <f>Sheet1!S20</f>
        <v>9.8994696225611225</v>
      </c>
      <c r="V27" s="41">
        <f>Sheet1!T20</f>
        <v>1.25</v>
      </c>
      <c r="W27" s="47">
        <f>Sheet1!U20</f>
        <v>5.0509112088004011</v>
      </c>
    </row>
    <row r="28" spans="2:23" x14ac:dyDescent="0.25">
      <c r="B28" s="39" t="s">
        <v>95</v>
      </c>
      <c r="C28" s="40" t="s">
        <v>49</v>
      </c>
      <c r="D28" s="40" t="s">
        <v>60</v>
      </c>
      <c r="E28" s="40" t="s">
        <v>110</v>
      </c>
      <c r="F28" s="41">
        <f>Sheet1!E21</f>
        <v>1.61</v>
      </c>
      <c r="G28" s="41">
        <f>Sheet1!F21</f>
        <v>1.2984123048668503</v>
      </c>
      <c r="H28" s="32">
        <f t="shared" si="1"/>
        <v>0.31158769513314977</v>
      </c>
      <c r="I28" s="41">
        <f>Sheet1!G21</f>
        <v>1.2620473829201102</v>
      </c>
      <c r="J28" s="41">
        <f>Sheet1!H21</f>
        <v>0.31158769513314977</v>
      </c>
      <c r="K28" s="42">
        <f>Sheet1!I21</f>
        <v>5</v>
      </c>
      <c r="L28" s="43">
        <f>Sheet1!J21</f>
        <v>7.2764880427313479</v>
      </c>
      <c r="M28" s="41">
        <f>Sheet1!K21</f>
        <v>1</v>
      </c>
      <c r="N28" s="44">
        <f>Sheet1!L21</f>
        <v>9.1832726911785727</v>
      </c>
      <c r="O28" s="43">
        <f>Sheet1!M21</f>
        <v>8.2882042507758182</v>
      </c>
      <c r="P28" s="41">
        <f>Sheet1!N21</f>
        <v>1.1000000000000001</v>
      </c>
      <c r="Q28" s="44">
        <f>Sheet1!O21</f>
        <v>11.506117132178851</v>
      </c>
      <c r="R28" s="45">
        <f>Sheet1!P21</f>
        <v>9.0876517826637997</v>
      </c>
      <c r="S28" s="41">
        <f>Sheet1!Q21</f>
        <v>1.2</v>
      </c>
      <c r="T28" s="58">
        <f>Sheet1!R21</f>
        <v>13.762856579040147</v>
      </c>
      <c r="U28" s="41">
        <f>Sheet1!S21</f>
        <v>9.8994696225611225</v>
      </c>
      <c r="V28" s="41">
        <f>Sheet1!T21</f>
        <v>1.25</v>
      </c>
      <c r="W28" s="47">
        <f>Sheet1!U21</f>
        <v>15.616999661812994</v>
      </c>
    </row>
    <row r="29" spans="2:23" x14ac:dyDescent="0.25">
      <c r="B29" s="39" t="s">
        <v>95</v>
      </c>
      <c r="C29" s="40" t="s">
        <v>49</v>
      </c>
      <c r="D29" s="40" t="s">
        <v>60</v>
      </c>
      <c r="E29" s="40" t="s">
        <v>111</v>
      </c>
      <c r="F29" s="41">
        <f>Sheet1!E23</f>
        <v>0.89</v>
      </c>
      <c r="G29" s="41">
        <f>Sheet1!F23</f>
        <v>0.71914600550964192</v>
      </c>
      <c r="H29" s="32">
        <f t="shared" si="1"/>
        <v>0.1708539944903581</v>
      </c>
      <c r="I29" s="41">
        <f>Sheet1!G23</f>
        <v>0.69848760330578519</v>
      </c>
      <c r="J29" s="41">
        <f>Sheet1!H23</f>
        <v>0.1708539944903581</v>
      </c>
      <c r="K29" s="42">
        <f>Sheet1!I23</f>
        <v>5</v>
      </c>
      <c r="L29" s="43">
        <f>Sheet1!J23</f>
        <v>7.2764880427313479</v>
      </c>
      <c r="M29" s="41">
        <f>Sheet1!K23</f>
        <v>1</v>
      </c>
      <c r="N29" s="44">
        <f>Sheet1!L23</f>
        <v>5.0825366934506233</v>
      </c>
      <c r="O29" s="43">
        <f>Sheet1!M23</f>
        <v>8.2882042507758182</v>
      </c>
      <c r="P29" s="41">
        <f>Sheet1!N23</f>
        <v>1.1000000000000001</v>
      </c>
      <c r="Q29" s="44">
        <f>Sheet1!O23</f>
        <v>6.3681287151165451</v>
      </c>
      <c r="R29" s="45">
        <f>Sheet1!P23</f>
        <v>9.0876517826637997</v>
      </c>
      <c r="S29" s="41">
        <f>Sheet1!Q23</f>
        <v>1.2</v>
      </c>
      <c r="T29" s="58">
        <f>Sheet1!R23</f>
        <v>7.617134536020461</v>
      </c>
      <c r="U29" s="41">
        <f>Sheet1!S23</f>
        <v>9.8994696225611225</v>
      </c>
      <c r="V29" s="41">
        <f>Sheet1!T23</f>
        <v>1.25</v>
      </c>
      <c r="W29" s="47">
        <f>Sheet1!U23</f>
        <v>8.64332101332643</v>
      </c>
    </row>
    <row r="30" spans="2:23" x14ac:dyDescent="0.25">
      <c r="B30" s="39" t="s">
        <v>95</v>
      </c>
      <c r="C30" s="40" t="s">
        <v>77</v>
      </c>
      <c r="D30" s="40" t="s">
        <v>60</v>
      </c>
      <c r="E30" s="40" t="s">
        <v>112</v>
      </c>
      <c r="F30" s="41">
        <f>F29</f>
        <v>0.89</v>
      </c>
      <c r="G30" s="41">
        <f t="shared" ref="G30:W30" si="2">G29</f>
        <v>0.71914600550964192</v>
      </c>
      <c r="H30" s="32">
        <f t="shared" si="1"/>
        <v>0.1708539944903581</v>
      </c>
      <c r="I30" s="41">
        <f t="shared" si="2"/>
        <v>0.69848760330578519</v>
      </c>
      <c r="J30" s="41">
        <f t="shared" si="2"/>
        <v>0.1708539944903581</v>
      </c>
      <c r="K30" s="42">
        <f t="shared" si="2"/>
        <v>5</v>
      </c>
      <c r="L30" s="43">
        <f t="shared" si="2"/>
        <v>7.2764880427313479</v>
      </c>
      <c r="M30" s="41">
        <f t="shared" si="2"/>
        <v>1</v>
      </c>
      <c r="N30" s="44">
        <f t="shared" si="2"/>
        <v>5.0825366934506233</v>
      </c>
      <c r="O30" s="43">
        <f t="shared" si="2"/>
        <v>8.2882042507758182</v>
      </c>
      <c r="P30" s="41">
        <f t="shared" si="2"/>
        <v>1.1000000000000001</v>
      </c>
      <c r="Q30" s="44">
        <f t="shared" si="2"/>
        <v>6.3681287151165451</v>
      </c>
      <c r="R30" s="45">
        <f t="shared" si="2"/>
        <v>9.0876517826637997</v>
      </c>
      <c r="S30" s="41">
        <f t="shared" si="2"/>
        <v>1.2</v>
      </c>
      <c r="T30" s="58">
        <f t="shared" si="2"/>
        <v>7.617134536020461</v>
      </c>
      <c r="U30" s="41">
        <f t="shared" si="2"/>
        <v>9.8994696225611225</v>
      </c>
      <c r="V30" s="41">
        <f t="shared" si="2"/>
        <v>1.25</v>
      </c>
      <c r="W30" s="47">
        <f t="shared" si="2"/>
        <v>8.64332101332643</v>
      </c>
    </row>
    <row r="31" spans="2:23" x14ac:dyDescent="0.25">
      <c r="B31" s="39" t="s">
        <v>95</v>
      </c>
      <c r="C31" s="40" t="s">
        <v>77</v>
      </c>
      <c r="D31" s="40" t="s">
        <v>60</v>
      </c>
      <c r="E31" s="40" t="s">
        <v>113</v>
      </c>
      <c r="F31" s="41">
        <f>Sheet1!E24</f>
        <v>0.35</v>
      </c>
      <c r="G31" s="41">
        <f>Sheet1!F24</f>
        <v>0.28301193755739212</v>
      </c>
      <c r="H31" s="32">
        <f t="shared" si="1"/>
        <v>6.6988062442607854E-2</v>
      </c>
      <c r="I31" s="41">
        <f>Sheet1!G24</f>
        <v>0.27480716253443527</v>
      </c>
      <c r="J31" s="41">
        <f>Sheet1!H24</f>
        <v>6.6988062442607854E-2</v>
      </c>
      <c r="K31" s="42">
        <f>Sheet1!I24</f>
        <v>5</v>
      </c>
      <c r="L31" s="43">
        <f>Sheet1!J24</f>
        <v>7.2764880427313479</v>
      </c>
      <c r="M31" s="41">
        <f>Sheet1!K24</f>
        <v>1</v>
      </c>
      <c r="N31" s="44">
        <f>Sheet1!L24</f>
        <v>1.9996310322387483</v>
      </c>
      <c r="O31" s="43">
        <f>Sheet1!M24</f>
        <v>8.2882042507758182</v>
      </c>
      <c r="P31" s="41">
        <f>Sheet1!N24</f>
        <v>1.1000000000000001</v>
      </c>
      <c r="Q31" s="44">
        <f>Sheet1!O24</f>
        <v>2.5054236819277023</v>
      </c>
      <c r="R31" s="45">
        <f>Sheet1!P24</f>
        <v>9.0876517826637997</v>
      </c>
      <c r="S31" s="41">
        <f>Sheet1!Q24</f>
        <v>1.2</v>
      </c>
      <c r="T31" s="58">
        <f>Sheet1!R24</f>
        <v>2.9968221605938097</v>
      </c>
      <c r="U31" s="41">
        <f>Sheet1!S24</f>
        <v>9.8994696225611225</v>
      </c>
      <c r="V31" s="41">
        <f>Sheet1!T24</f>
        <v>1.25</v>
      </c>
      <c r="W31" s="47">
        <f>Sheet1!U24</f>
        <v>3.4005564469648237</v>
      </c>
    </row>
    <row r="32" spans="2:23" x14ac:dyDescent="0.25">
      <c r="B32" s="39" t="s">
        <v>95</v>
      </c>
      <c r="C32" s="40" t="s">
        <v>49</v>
      </c>
      <c r="D32" s="40" t="s">
        <v>60</v>
      </c>
      <c r="E32" s="40" t="s">
        <v>114</v>
      </c>
      <c r="F32" s="41">
        <f>Sheet1!E25</f>
        <v>2.87</v>
      </c>
      <c r="G32" s="41">
        <f>Sheet1!F25</f>
        <v>2.3126721763085398</v>
      </c>
      <c r="H32" s="32">
        <f t="shared" si="1"/>
        <v>0.55732782369146028</v>
      </c>
      <c r="I32" s="41">
        <f>Sheet1!G25</f>
        <v>2.2486033057851236</v>
      </c>
      <c r="J32" s="41">
        <f>Sheet1!H25</f>
        <v>0.55732782369146028</v>
      </c>
      <c r="K32" s="42">
        <f>Sheet1!I25</f>
        <v>17</v>
      </c>
      <c r="L32" s="43">
        <f>Sheet1!J25</f>
        <v>5.4501442212857452</v>
      </c>
      <c r="M32" s="41">
        <f>Sheet1!K25</f>
        <v>1</v>
      </c>
      <c r="N32" s="44">
        <f>Sheet1!L25</f>
        <v>12.255212312988814</v>
      </c>
      <c r="O32" s="43">
        <f>Sheet1!M25</f>
        <v>6.1515752492504721</v>
      </c>
      <c r="P32" s="41">
        <f>Sheet1!N25</f>
        <v>1.1000000000000001</v>
      </c>
      <c r="Q32" s="44">
        <f>Sheet1!O25</f>
        <v>15.215697685375613</v>
      </c>
      <c r="R32" s="45">
        <f>Sheet1!P25</f>
        <v>6.6978741656391261</v>
      </c>
      <c r="S32" s="41">
        <f>Sheet1!Q25</f>
        <v>1.2</v>
      </c>
      <c r="T32" s="58">
        <f>Sheet1!R25</f>
        <v>18.073034388706699</v>
      </c>
      <c r="U32" s="41">
        <f>Sheet1!S25</f>
        <v>7.2449494372024947</v>
      </c>
      <c r="V32" s="41">
        <f>Sheet1!T25</f>
        <v>1.25</v>
      </c>
      <c r="W32" s="47">
        <f>Sheet1!U25</f>
        <v>20.3637715684245</v>
      </c>
    </row>
    <row r="33" spans="2:23" x14ac:dyDescent="0.25">
      <c r="B33" s="39" t="s">
        <v>95</v>
      </c>
      <c r="C33" s="40" t="s">
        <v>77</v>
      </c>
      <c r="D33" s="40" t="s">
        <v>60</v>
      </c>
      <c r="E33" s="40" t="s">
        <v>115</v>
      </c>
      <c r="F33" s="41">
        <f>Sheet1!E26</f>
        <v>4.3</v>
      </c>
      <c r="G33" s="41">
        <f>Sheet1!F26</f>
        <v>3.4721763085399449</v>
      </c>
      <c r="H33" s="32">
        <f t="shared" si="1"/>
        <v>0.82782369146005497</v>
      </c>
      <c r="I33" s="41">
        <f>Sheet1!G26</f>
        <v>3.3733057851239669</v>
      </c>
      <c r="J33" s="41">
        <f>Sheet1!H26</f>
        <v>0.82782369146005497</v>
      </c>
      <c r="K33" s="42">
        <f>Sheet1!I26</f>
        <v>15</v>
      </c>
      <c r="L33" s="43">
        <f>Sheet1!J26</f>
        <v>5.6882937328982619</v>
      </c>
      <c r="M33" s="41">
        <f>Sheet1!K26</f>
        <v>1</v>
      </c>
      <c r="N33" s="44">
        <f>Sheet1!L26</f>
        <v>19.188354156670112</v>
      </c>
      <c r="O33" s="43">
        <f>Sheet1!M26</f>
        <v>6.4276085318591392</v>
      </c>
      <c r="P33" s="41">
        <f>Sheet1!N26</f>
        <v>1.1000000000000001</v>
      </c>
      <c r="Q33" s="44">
        <f>Sheet1!O26</f>
        <v>23.850517949535867</v>
      </c>
      <c r="R33" s="45">
        <f>Sheet1!P26</f>
        <v>7.0044180518439605</v>
      </c>
      <c r="S33" s="41">
        <f>Sheet1!Q26</f>
        <v>1.2</v>
      </c>
      <c r="T33" s="58">
        <f>Sheet1!R26</f>
        <v>28.35365272285437</v>
      </c>
      <c r="U33" s="41">
        <f>Sheet1!S26</f>
        <v>7.5830218559299372</v>
      </c>
      <c r="V33" s="41">
        <f>Sheet1!T26</f>
        <v>1.25</v>
      </c>
      <c r="W33" s="47">
        <f>Sheet1!U26</f>
        <v>31.97481436916242</v>
      </c>
    </row>
    <row r="34" spans="2:23" x14ac:dyDescent="0.25">
      <c r="B34" s="39" t="s">
        <v>95</v>
      </c>
      <c r="C34" s="40" t="s">
        <v>77</v>
      </c>
      <c r="D34" s="40" t="s">
        <v>60</v>
      </c>
      <c r="E34" s="40" t="s">
        <v>116</v>
      </c>
      <c r="F34" s="41">
        <f>Sheet1!E43</f>
        <v>4.09</v>
      </c>
      <c r="G34" s="41">
        <f>Sheet1!F43</f>
        <v>1.425068870523416</v>
      </c>
      <c r="H34" s="32">
        <f t="shared" si="1"/>
        <v>2.6649311294765838</v>
      </c>
      <c r="I34" s="41">
        <f>Sheet1!G43</f>
        <v>2.0820413223140495</v>
      </c>
      <c r="J34" s="41">
        <f>Sheet1!H43</f>
        <v>2.6649311294765838</v>
      </c>
      <c r="K34" s="42">
        <f>Sheet1!I43</f>
        <v>5</v>
      </c>
      <c r="L34" s="43">
        <f>Sheet1!J43</f>
        <v>7.2764880427313479</v>
      </c>
      <c r="M34" s="41">
        <f>Sheet1!K43</f>
        <v>1</v>
      </c>
      <c r="N34" s="44">
        <f>Sheet1!L43</f>
        <v>15.149948786290745</v>
      </c>
      <c r="O34" s="43">
        <f>Sheet1!M43</f>
        <v>8.2882042507758182</v>
      </c>
      <c r="P34" s="41">
        <f>Sheet1!N43</f>
        <v>1.1000000000000001</v>
      </c>
      <c r="Q34" s="44">
        <f>Sheet1!O43</f>
        <v>18.982022111683634</v>
      </c>
      <c r="R34" s="45">
        <f>Sheet1!P43</f>
        <v>9.0876517826637997</v>
      </c>
      <c r="S34" s="41">
        <f>Sheet1!Q43</f>
        <v>1.2</v>
      </c>
      <c r="T34" s="58">
        <f>Sheet1!R43</f>
        <v>22.705039841168361</v>
      </c>
      <c r="U34" s="41">
        <f>Sheet1!S43</f>
        <v>9.8994696225611225</v>
      </c>
      <c r="V34" s="41">
        <f>Sheet1!T43</f>
        <v>1.25</v>
      </c>
      <c r="W34" s="47">
        <f>Sheet1!U43</f>
        <v>25.763881028956153</v>
      </c>
    </row>
    <row r="35" spans="2:23" ht="16.5" thickBot="1" x14ac:dyDescent="0.3">
      <c r="B35" s="24" t="s">
        <v>95</v>
      </c>
      <c r="C35" s="25" t="s">
        <v>49</v>
      </c>
      <c r="D35" s="40" t="s">
        <v>60</v>
      </c>
      <c r="E35" s="25" t="s">
        <v>117</v>
      </c>
      <c r="F35" s="48">
        <f>Sheet1!E38</f>
        <v>2.94</v>
      </c>
      <c r="G35" s="48">
        <f>Sheet1!F38</f>
        <v>0.5</v>
      </c>
      <c r="H35" s="32">
        <f t="shared" si="1"/>
        <v>2.44</v>
      </c>
      <c r="I35" s="48">
        <f>Sheet1!G38</f>
        <v>1.1819999999999999</v>
      </c>
      <c r="J35" s="48">
        <f>Sheet1!H38</f>
        <v>2.44</v>
      </c>
      <c r="K35" s="49">
        <f>Sheet1!I38</f>
        <v>5</v>
      </c>
      <c r="L35" s="50">
        <f>Sheet1!J38</f>
        <v>7.2764880427313479</v>
      </c>
      <c r="M35" s="48">
        <f>Sheet1!K38</f>
        <v>1</v>
      </c>
      <c r="N35" s="51">
        <f>Sheet1!L38</f>
        <v>8.6008088665084532</v>
      </c>
      <c r="O35" s="50">
        <f>Sheet1!M38</f>
        <v>8.2882042507758182</v>
      </c>
      <c r="P35" s="48">
        <f>Sheet1!N38</f>
        <v>1.1000000000000001</v>
      </c>
      <c r="Q35" s="51">
        <f>Sheet1!O38</f>
        <v>10.776323166858718</v>
      </c>
      <c r="R35" s="52">
        <f>Sheet1!P38</f>
        <v>9.0876517826637997</v>
      </c>
      <c r="S35" s="48">
        <f>Sheet1!Q38</f>
        <v>1.2</v>
      </c>
      <c r="T35" s="59">
        <f>Sheet1!R38</f>
        <v>12.889925288530334</v>
      </c>
      <c r="U35" s="48">
        <f>Sheet1!S38</f>
        <v>9.8994696225611225</v>
      </c>
      <c r="V35" s="48">
        <f>Sheet1!T38</f>
        <v>1.25</v>
      </c>
      <c r="W35" s="54">
        <f>Sheet1!U38</f>
        <v>14.626466367334057</v>
      </c>
    </row>
    <row r="37" spans="2:23" ht="16.5" thickBot="1" x14ac:dyDescent="0.3"/>
    <row r="38" spans="2:23" x14ac:dyDescent="0.25">
      <c r="B38" s="21"/>
      <c r="C38" s="22"/>
      <c r="D38" s="22"/>
      <c r="E38" s="22"/>
      <c r="F38" s="22"/>
      <c r="G38" s="22" t="s">
        <v>132</v>
      </c>
      <c r="H38" s="22" t="s">
        <v>133</v>
      </c>
      <c r="I38" s="22"/>
      <c r="J38" s="22"/>
      <c r="K38" s="22"/>
      <c r="L38" s="88" t="s">
        <v>15</v>
      </c>
      <c r="M38" s="88"/>
      <c r="N38" s="88"/>
      <c r="O38" s="88" t="s">
        <v>16</v>
      </c>
      <c r="P38" s="88"/>
      <c r="Q38" s="88"/>
      <c r="R38" s="88" t="s">
        <v>1</v>
      </c>
      <c r="S38" s="88"/>
      <c r="T38" s="88"/>
      <c r="U38" s="88" t="s">
        <v>6</v>
      </c>
      <c r="V38" s="88"/>
      <c r="W38" s="89"/>
    </row>
    <row r="39" spans="2:23" ht="32.25" thickBot="1" x14ac:dyDescent="0.3">
      <c r="B39" s="24" t="s">
        <v>129</v>
      </c>
      <c r="C39" s="25" t="s">
        <v>130</v>
      </c>
      <c r="D39" s="25" t="s">
        <v>131</v>
      </c>
      <c r="E39" s="25" t="s">
        <v>97</v>
      </c>
      <c r="F39" s="26" t="s">
        <v>13</v>
      </c>
      <c r="G39" s="26" t="s">
        <v>119</v>
      </c>
      <c r="H39" s="26" t="str">
        <f t="shared" ref="H39:H51" si="3">J39</f>
        <v>unimproved area (Acre)</v>
      </c>
      <c r="I39" s="25" t="s">
        <v>7</v>
      </c>
      <c r="J39" s="26" t="s">
        <v>118</v>
      </c>
      <c r="K39" s="25" t="s">
        <v>102</v>
      </c>
      <c r="L39" s="25" t="s">
        <v>3</v>
      </c>
      <c r="M39" s="25" t="s">
        <v>4</v>
      </c>
      <c r="N39" s="25" t="s">
        <v>5</v>
      </c>
      <c r="O39" s="25" t="s">
        <v>3</v>
      </c>
      <c r="P39" s="25" t="s">
        <v>4</v>
      </c>
      <c r="Q39" s="25" t="s">
        <v>5</v>
      </c>
      <c r="R39" s="25" t="s">
        <v>3</v>
      </c>
      <c r="S39" s="25" t="s">
        <v>4</v>
      </c>
      <c r="T39" s="25" t="s">
        <v>5</v>
      </c>
      <c r="U39" s="25" t="s">
        <v>3</v>
      </c>
      <c r="V39" s="25" t="s">
        <v>4</v>
      </c>
      <c r="W39" s="28" t="s">
        <v>5</v>
      </c>
    </row>
    <row r="40" spans="2:23" x14ac:dyDescent="0.25">
      <c r="B40" s="82" t="s">
        <v>126</v>
      </c>
      <c r="C40" s="31" t="s">
        <v>68</v>
      </c>
      <c r="D40" s="31" t="s">
        <v>69</v>
      </c>
      <c r="E40" s="31" t="s">
        <v>52</v>
      </c>
      <c r="F40" s="32">
        <f>Sheet1!E47</f>
        <v>100.02770000000001</v>
      </c>
      <c r="G40" s="32">
        <f>Sheet1!F47</f>
        <v>15.286382736455467</v>
      </c>
      <c r="H40" s="32">
        <f t="shared" si="3"/>
        <v>84.741317263544545</v>
      </c>
      <c r="I40" s="32">
        <f>Sheet1!G47</f>
        <v>26.136599641873275</v>
      </c>
      <c r="J40" s="32">
        <f>Sheet1!H47</f>
        <v>84.741317263544545</v>
      </c>
      <c r="K40" s="32">
        <f>Sheet1!I47</f>
        <v>76.61999999999999</v>
      </c>
      <c r="L40" s="32">
        <f>Sheet1!J47</f>
        <v>2.4198023658282146</v>
      </c>
      <c r="M40" s="32">
        <f>Sheet1!K47</f>
        <v>1</v>
      </c>
      <c r="N40" s="32">
        <f>Sheet1!L47</f>
        <v>63.245405648109816</v>
      </c>
      <c r="O40" s="32">
        <f>Sheet1!M47</f>
        <v>2.7007605814991353</v>
      </c>
      <c r="P40" s="32">
        <f>Sheet1!N47</f>
        <v>1.1000000000000001</v>
      </c>
      <c r="Q40" s="83">
        <f>Sheet1!O47</f>
        <v>77.64756785191534</v>
      </c>
      <c r="R40" s="32">
        <f>Sheet1!P47</f>
        <v>2.9159959866119505</v>
      </c>
      <c r="S40" s="32">
        <f>Sheet1!Q47</f>
        <v>1.2</v>
      </c>
      <c r="T40" s="32">
        <f>Sheet1!R47</f>
        <v>91.457063591262965</v>
      </c>
      <c r="U40" s="32">
        <f>Sheet1!S47</f>
        <v>3.1280094279425281</v>
      </c>
      <c r="V40" s="32">
        <f>Sheet1!T47</f>
        <v>1.25</v>
      </c>
      <c r="W40" s="35">
        <f>Sheet1!U47</f>
        <v>102.19441261767363</v>
      </c>
    </row>
    <row r="41" spans="2:23" x14ac:dyDescent="0.25">
      <c r="B41" s="62" t="s">
        <v>126</v>
      </c>
      <c r="C41" s="40" t="s">
        <v>51</v>
      </c>
      <c r="D41" s="40" t="s">
        <v>69</v>
      </c>
      <c r="E41" s="40" t="s">
        <v>120</v>
      </c>
      <c r="F41" s="41">
        <f>Sheet1!E56</f>
        <v>95.488299999999995</v>
      </c>
      <c r="G41" s="41">
        <f>Sheet1!F56</f>
        <v>11.382245179063361</v>
      </c>
      <c r="H41" s="41">
        <f t="shared" si="3"/>
        <v>84.106054820936635</v>
      </c>
      <c r="I41" s="41">
        <f>Sheet1!G56</f>
        <v>22.140837107438021</v>
      </c>
      <c r="J41" s="41">
        <f>Sheet1!H56</f>
        <v>84.106054820936635</v>
      </c>
      <c r="K41" s="41">
        <f>Sheet1!I56</f>
        <v>82.98</v>
      </c>
      <c r="L41" s="41">
        <f>Sheet1!J56</f>
        <v>2.2839673698071761</v>
      </c>
      <c r="M41" s="41">
        <f>Sheet1!K56</f>
        <v>1</v>
      </c>
      <c r="N41" s="41">
        <f>Sheet1!L56</f>
        <v>50.568949493604343</v>
      </c>
      <c r="O41" s="41">
        <f>Sheet1!M56</f>
        <v>2.5484874286896297</v>
      </c>
      <c r="P41" s="41">
        <f>Sheet1!N56</f>
        <v>1.1000000000000001</v>
      </c>
      <c r="Q41" s="63">
        <f>Sheet1!O56</f>
        <v>62.06820953186773</v>
      </c>
      <c r="R41" s="41">
        <f>Sheet1!P56</f>
        <v>2.7510549820237573</v>
      </c>
      <c r="S41" s="41">
        <f>Sheet1!Q56</f>
        <v>1.2</v>
      </c>
      <c r="T41" s="41">
        <f>Sheet1!R56</f>
        <v>73.092792276712615</v>
      </c>
      <c r="U41" s="41">
        <f>Sheet1!S56</f>
        <v>2.992652446427857</v>
      </c>
      <c r="V41" s="41">
        <f>Sheet1!T56</f>
        <v>1.25</v>
      </c>
      <c r="W41" s="44">
        <f>Sheet1!U56</f>
        <v>82.824787919418839</v>
      </c>
    </row>
    <row r="42" spans="2:23" x14ac:dyDescent="0.25">
      <c r="B42" s="62" t="s">
        <v>126</v>
      </c>
      <c r="C42" s="40" t="s">
        <v>51</v>
      </c>
      <c r="D42" s="40" t="s">
        <v>50</v>
      </c>
      <c r="E42" s="40" t="s">
        <v>123</v>
      </c>
      <c r="F42" s="41">
        <f>Sheet1!E69</f>
        <v>27.3</v>
      </c>
      <c r="G42" s="41">
        <f>Sheet1!F69</f>
        <v>0.78181818181818186</v>
      </c>
      <c r="H42" s="41">
        <f t="shared" si="3"/>
        <v>26.518181818181819</v>
      </c>
      <c r="I42" s="41">
        <f>Sheet1!G69</f>
        <v>8.6590909090909083</v>
      </c>
      <c r="J42" s="41">
        <f>Sheet1!H69</f>
        <v>26.518181818181819</v>
      </c>
      <c r="K42" s="41">
        <f>Sheet1!I69</f>
        <v>144</v>
      </c>
      <c r="L42" s="41">
        <f>Sheet1!J69</f>
        <v>1.4835112600445803</v>
      </c>
      <c r="M42" s="41">
        <f>Sheet1!K69</f>
        <v>1</v>
      </c>
      <c r="N42" s="41">
        <f>Sheet1!L69</f>
        <v>12.845858865386024</v>
      </c>
      <c r="O42" s="41">
        <f>Sheet1!M69</f>
        <v>1.6544442831566311</v>
      </c>
      <c r="P42" s="41">
        <f>Sheet1!N69</f>
        <v>1.1000000000000001</v>
      </c>
      <c r="Q42" s="63">
        <f>Sheet1!O69</f>
        <v>15.758581797066912</v>
      </c>
      <c r="R42" s="41">
        <f>Sheet1!P69</f>
        <v>1.7852239610901648</v>
      </c>
      <c r="S42" s="41">
        <f>Sheet1!Q69</f>
        <v>1.2</v>
      </c>
      <c r="T42" s="41">
        <f>Sheet1!R69</f>
        <v>18.550099886600528</v>
      </c>
      <c r="U42" s="41">
        <f>Sheet1!S69</f>
        <v>1.9138047138476109</v>
      </c>
      <c r="V42" s="41">
        <f>Sheet1!T69</f>
        <v>1.25</v>
      </c>
      <c r="W42" s="44">
        <f>Sheet1!U69</f>
        <v>20.714761249316467</v>
      </c>
    </row>
    <row r="43" spans="2:23" x14ac:dyDescent="0.25">
      <c r="B43" s="62" t="s">
        <v>126</v>
      </c>
      <c r="C43" s="40" t="s">
        <v>86</v>
      </c>
      <c r="D43" s="40" t="s">
        <v>50</v>
      </c>
      <c r="E43" s="40" t="s">
        <v>73</v>
      </c>
      <c r="F43" s="41">
        <f>F6</f>
        <v>6.9337</v>
      </c>
      <c r="G43" s="41">
        <f>G6</f>
        <v>0.34260000000000002</v>
      </c>
      <c r="H43" s="41">
        <f t="shared" si="3"/>
        <v>6.5911</v>
      </c>
      <c r="I43" s="41">
        <f t="shared" ref="I43:W43" si="4">I6</f>
        <v>2.2856699999999996</v>
      </c>
      <c r="J43" s="41">
        <f t="shared" si="4"/>
        <v>6.5911</v>
      </c>
      <c r="K43" s="41">
        <f t="shared" si="4"/>
        <v>20</v>
      </c>
      <c r="L43" s="41">
        <f t="shared" si="4"/>
        <v>5.1279883252709775</v>
      </c>
      <c r="M43" s="41">
        <f t="shared" si="4"/>
        <v>1</v>
      </c>
      <c r="N43" s="41">
        <f t="shared" si="4"/>
        <v>11.720889075422113</v>
      </c>
      <c r="O43" s="41">
        <f t="shared" si="4"/>
        <v>5.7793620017604477</v>
      </c>
      <c r="P43" s="41">
        <f t="shared" si="4"/>
        <v>1.1000000000000001</v>
      </c>
      <c r="Q43" s="63">
        <f t="shared" si="4"/>
        <v>14.53068578122018</v>
      </c>
      <c r="R43" s="41">
        <f t="shared" si="4"/>
        <v>6.2855184586943942</v>
      </c>
      <c r="S43" s="41">
        <f t="shared" si="4"/>
        <v>1.2</v>
      </c>
      <c r="T43" s="41">
        <f t="shared" si="4"/>
        <v>17.239945170580814</v>
      </c>
      <c r="U43" s="41">
        <f t="shared" si="4"/>
        <v>6.8456295772959823</v>
      </c>
      <c r="V43" s="41">
        <f t="shared" si="4"/>
        <v>1.25</v>
      </c>
      <c r="W43" s="44">
        <f t="shared" si="4"/>
        <v>19.558562694922632</v>
      </c>
    </row>
    <row r="44" spans="2:23" x14ac:dyDescent="0.25">
      <c r="B44" s="62" t="s">
        <v>126</v>
      </c>
      <c r="C44" s="40" t="s">
        <v>85</v>
      </c>
      <c r="D44" s="40" t="s">
        <v>50</v>
      </c>
      <c r="E44" s="40" t="s">
        <v>99</v>
      </c>
      <c r="F44" s="41">
        <f>F7</f>
        <v>88.078299999999999</v>
      </c>
      <c r="G44" s="41">
        <f>G7</f>
        <v>9.3548451790633607</v>
      </c>
      <c r="H44" s="41">
        <f t="shared" si="3"/>
        <v>78.723454820936638</v>
      </c>
      <c r="I44" s="41">
        <f t="shared" ref="I44:W44" si="5">I7</f>
        <v>18.701397107438019</v>
      </c>
      <c r="J44" s="41">
        <f t="shared" si="5"/>
        <v>78.723454820936638</v>
      </c>
      <c r="K44" s="41">
        <f t="shared" si="5"/>
        <v>82.98</v>
      </c>
      <c r="L44" s="41">
        <f t="shared" si="5"/>
        <v>2.2839673698071761</v>
      </c>
      <c r="M44" s="41">
        <f t="shared" si="5"/>
        <v>1</v>
      </c>
      <c r="N44" s="41">
        <f t="shared" si="5"/>
        <v>42.713380763194742</v>
      </c>
      <c r="O44" s="41">
        <f t="shared" si="5"/>
        <v>2.5484874286896297</v>
      </c>
      <c r="P44" s="41">
        <f t="shared" si="5"/>
        <v>1.1000000000000001</v>
      </c>
      <c r="Q44" s="63">
        <f t="shared" si="5"/>
        <v>52.426302969962244</v>
      </c>
      <c r="R44" s="41">
        <f t="shared" si="5"/>
        <v>2.7510549820237573</v>
      </c>
      <c r="S44" s="41">
        <f t="shared" si="5"/>
        <v>1.2</v>
      </c>
      <c r="T44" s="41">
        <f t="shared" si="5"/>
        <v>61.738286019866457</v>
      </c>
      <c r="U44" s="41">
        <f t="shared" si="5"/>
        <v>2.992652446427857</v>
      </c>
      <c r="V44" s="41">
        <f t="shared" si="5"/>
        <v>1.25</v>
      </c>
      <c r="W44" s="44">
        <f t="shared" si="5"/>
        <v>69.958477256491548</v>
      </c>
    </row>
    <row r="45" spans="2:23" x14ac:dyDescent="0.25">
      <c r="B45" s="62" t="s">
        <v>126</v>
      </c>
      <c r="C45" s="40" t="s">
        <v>76</v>
      </c>
      <c r="D45" s="40" t="s">
        <v>69</v>
      </c>
      <c r="E45" s="40" t="s">
        <v>94</v>
      </c>
      <c r="F45" s="40">
        <f>F7</f>
        <v>88.078299999999999</v>
      </c>
      <c r="G45" s="41">
        <f>G7</f>
        <v>9.3548451790633607</v>
      </c>
      <c r="H45" s="41">
        <f t="shared" si="3"/>
        <v>78.723454820936638</v>
      </c>
      <c r="I45" s="41">
        <f t="shared" ref="I45:W45" si="6">I7</f>
        <v>18.701397107438019</v>
      </c>
      <c r="J45" s="41">
        <f t="shared" si="6"/>
        <v>78.723454820936638</v>
      </c>
      <c r="K45" s="41">
        <f t="shared" si="6"/>
        <v>82.98</v>
      </c>
      <c r="L45" s="41">
        <f t="shared" si="6"/>
        <v>2.2839673698071761</v>
      </c>
      <c r="M45" s="41">
        <f t="shared" si="6"/>
        <v>1</v>
      </c>
      <c r="N45" s="41">
        <f t="shared" si="6"/>
        <v>42.713380763194742</v>
      </c>
      <c r="O45" s="41">
        <f t="shared" si="6"/>
        <v>2.5484874286896297</v>
      </c>
      <c r="P45" s="41">
        <f t="shared" si="6"/>
        <v>1.1000000000000001</v>
      </c>
      <c r="Q45" s="63">
        <f t="shared" si="6"/>
        <v>52.426302969962244</v>
      </c>
      <c r="R45" s="41">
        <f t="shared" si="6"/>
        <v>2.7510549820237573</v>
      </c>
      <c r="S45" s="41">
        <f t="shared" si="6"/>
        <v>1.2</v>
      </c>
      <c r="T45" s="41">
        <f t="shared" si="6"/>
        <v>61.738286019866457</v>
      </c>
      <c r="U45" s="41">
        <f t="shared" si="6"/>
        <v>2.992652446427857</v>
      </c>
      <c r="V45" s="41">
        <f t="shared" si="6"/>
        <v>1.25</v>
      </c>
      <c r="W45" s="44">
        <f t="shared" si="6"/>
        <v>69.958477256491548</v>
      </c>
    </row>
    <row r="46" spans="2:23" x14ac:dyDescent="0.25">
      <c r="B46" s="62" t="s">
        <v>126</v>
      </c>
      <c r="C46" s="40" t="s">
        <v>121</v>
      </c>
      <c r="D46" s="40" t="s">
        <v>50</v>
      </c>
      <c r="E46" s="40" t="s">
        <v>122</v>
      </c>
      <c r="F46" s="41">
        <f>Sheet1!E68</f>
        <v>1.24</v>
      </c>
      <c r="G46" s="41">
        <f>Sheet1!F68</f>
        <v>0.43553719008264463</v>
      </c>
      <c r="H46" s="41">
        <f t="shared" si="3"/>
        <v>0.80446280991735541</v>
      </c>
      <c r="I46" s="41">
        <f>Sheet1!G68</f>
        <v>0.63332231404958683</v>
      </c>
      <c r="J46" s="41">
        <f>Sheet1!H68</f>
        <v>0.80446280991735541</v>
      </c>
      <c r="K46" s="41">
        <f>Sheet1!I68</f>
        <v>5</v>
      </c>
      <c r="L46" s="41">
        <f>Sheet1!J68</f>
        <v>7.2764880427313479</v>
      </c>
      <c r="M46" s="41">
        <f>Sheet1!K68</f>
        <v>1</v>
      </c>
      <c r="N46" s="41">
        <f>Sheet1!L68</f>
        <v>4.6083622453767665</v>
      </c>
      <c r="O46" s="41">
        <f>Sheet1!M68</f>
        <v>8.2882042507758182</v>
      </c>
      <c r="P46" s="41">
        <f>Sheet1!N68</f>
        <v>1.1000000000000001</v>
      </c>
      <c r="Q46" s="63">
        <f>Sheet1!O68</f>
        <v>5.7740151649586595</v>
      </c>
      <c r="R46" s="41">
        <f>Sheet1!P68</f>
        <v>9.0876517826637997</v>
      </c>
      <c r="S46" s="41">
        <f>Sheet1!Q68</f>
        <v>1.2</v>
      </c>
      <c r="T46" s="41">
        <f>Sheet1!R68</f>
        <v>6.906495187528189</v>
      </c>
      <c r="U46" s="41">
        <f>Sheet1!S68</f>
        <v>9.8994696225611225</v>
      </c>
      <c r="V46" s="41">
        <f>Sheet1!T68</f>
        <v>1.25</v>
      </c>
      <c r="W46" s="44">
        <f>Sheet1!U68</f>
        <v>7.8369437615299997</v>
      </c>
    </row>
    <row r="47" spans="2:23" x14ac:dyDescent="0.25">
      <c r="B47" s="62" t="s">
        <v>126</v>
      </c>
      <c r="C47" s="40" t="s">
        <v>49</v>
      </c>
      <c r="D47" s="40" t="s">
        <v>50</v>
      </c>
      <c r="E47" s="40" t="s">
        <v>53</v>
      </c>
      <c r="F47" s="41">
        <f>Sheet1!E46</f>
        <v>501.16770000000002</v>
      </c>
      <c r="G47" s="41">
        <f>Sheet1!F46</f>
        <v>20.450469054178146</v>
      </c>
      <c r="H47" s="41">
        <f t="shared" si="3"/>
        <v>480.71723094582188</v>
      </c>
      <c r="I47" s="41">
        <f>Sheet1!G46</f>
        <v>70.513051432506884</v>
      </c>
      <c r="J47" s="41">
        <f>Sheet1!H46</f>
        <v>480.71723094582188</v>
      </c>
      <c r="K47" s="41">
        <f>Sheet1!I46</f>
        <v>261.42</v>
      </c>
      <c r="L47" s="41">
        <f>Sheet1!J46</f>
        <v>0.88477893255967754</v>
      </c>
      <c r="M47" s="41">
        <f>Sheet1!K46</f>
        <v>1</v>
      </c>
      <c r="N47" s="41">
        <f>Sheet1!L46</f>
        <v>62.388462377979081</v>
      </c>
      <c r="O47" s="41">
        <f>Sheet1!M46</f>
        <v>0.98844318780596352</v>
      </c>
      <c r="P47" s="41">
        <f>Sheet1!N46</f>
        <v>1.1000000000000001</v>
      </c>
      <c r="Q47" s="63">
        <f>Sheet1!O46</f>
        <v>76.667959873860269</v>
      </c>
      <c r="R47" s="41">
        <f>Sheet1!P46</f>
        <v>1.0678936024820138</v>
      </c>
      <c r="S47" s="41">
        <f>Sheet1!Q46</f>
        <v>1.2</v>
      </c>
      <c r="T47" s="41">
        <f>Sheet1!R46</f>
        <v>90.360523819511158</v>
      </c>
      <c r="U47" s="41">
        <f>Sheet1!S46</f>
        <v>1.1658076295754882</v>
      </c>
      <c r="V47" s="41">
        <f>Sheet1!T46</f>
        <v>1.25</v>
      </c>
      <c r="W47" s="44">
        <f>Sheet1!U46</f>
        <v>102.75581668083166</v>
      </c>
    </row>
    <row r="48" spans="2:23" x14ac:dyDescent="0.25">
      <c r="B48" s="62" t="s">
        <v>126</v>
      </c>
      <c r="C48" s="40" t="s">
        <v>101</v>
      </c>
      <c r="D48" s="40" t="s">
        <v>50</v>
      </c>
      <c r="E48" s="40" t="s">
        <v>127</v>
      </c>
      <c r="F48" s="41">
        <f>SUMMARY!F19</f>
        <v>0.84</v>
      </c>
      <c r="G48" s="41">
        <f>SUMMARY!G19</f>
        <v>0.68007346189164375</v>
      </c>
      <c r="H48" s="41">
        <f t="shared" si="3"/>
        <v>0.15992653810835622</v>
      </c>
      <c r="I48" s="41">
        <f>SUMMARY!I19</f>
        <v>0.66004407713498625</v>
      </c>
      <c r="J48" s="41">
        <f>SUMMARY!J19</f>
        <v>0.15992653810835622</v>
      </c>
      <c r="K48" s="41">
        <f>SUMMARY!K19</f>
        <v>5</v>
      </c>
      <c r="L48" s="41">
        <f>SUMMARY!L19</f>
        <v>7.2764880427313479</v>
      </c>
      <c r="M48" s="41">
        <f>SUMMARY!M19</f>
        <v>1</v>
      </c>
      <c r="N48" s="41">
        <f>SUMMARY!N19</f>
        <v>4.8028028349483751</v>
      </c>
      <c r="O48" s="41">
        <f>SUMMARY!O19</f>
        <v>8.2882042507758182</v>
      </c>
      <c r="P48" s="41">
        <f>SUMMARY!P19</f>
        <v>1.1000000000000001</v>
      </c>
      <c r="Q48" s="63">
        <f>SUMMARY!Q19</f>
        <v>6.0176381383905548</v>
      </c>
      <c r="R48" s="41">
        <f>SUMMARY!R19</f>
        <v>9.0876517826637997</v>
      </c>
      <c r="S48" s="41">
        <f>SUMMARY!S19</f>
        <v>1.2</v>
      </c>
      <c r="T48" s="41">
        <f>SUMMARY!T19</f>
        <v>7.1979008810549283</v>
      </c>
      <c r="U48" s="41">
        <f>SUMMARY!U19</f>
        <v>9.8994696225611225</v>
      </c>
      <c r="V48" s="41">
        <f>SUMMARY!V19</f>
        <v>1.25</v>
      </c>
      <c r="W48" s="44">
        <f>SUMMARY!W19</f>
        <v>8.1676078639364835</v>
      </c>
    </row>
    <row r="49" spans="2:23" x14ac:dyDescent="0.25">
      <c r="B49" s="62" t="s">
        <v>126</v>
      </c>
      <c r="C49" s="40" t="s">
        <v>49</v>
      </c>
      <c r="D49" s="40" t="s">
        <v>50</v>
      </c>
      <c r="E49" s="40" t="s">
        <v>128</v>
      </c>
      <c r="F49" s="41">
        <f>F23</f>
        <v>0.84</v>
      </c>
      <c r="G49" s="41">
        <f>G23</f>
        <v>0.68007346189164375</v>
      </c>
      <c r="H49" s="41">
        <f t="shared" si="3"/>
        <v>0.15992653810835622</v>
      </c>
      <c r="I49" s="41">
        <f t="shared" ref="I49:W49" si="7">I23</f>
        <v>0.66004407713498625</v>
      </c>
      <c r="J49" s="41">
        <f t="shared" si="7"/>
        <v>0.15992653810835622</v>
      </c>
      <c r="K49" s="41">
        <f t="shared" si="7"/>
        <v>5</v>
      </c>
      <c r="L49" s="41">
        <f t="shared" si="7"/>
        <v>7.2764880427313479</v>
      </c>
      <c r="M49" s="41">
        <f t="shared" si="7"/>
        <v>1</v>
      </c>
      <c r="N49" s="41">
        <f t="shared" si="7"/>
        <v>4.8028028349483751</v>
      </c>
      <c r="O49" s="41">
        <f t="shared" si="7"/>
        <v>8.2882042507758182</v>
      </c>
      <c r="P49" s="41">
        <f t="shared" si="7"/>
        <v>1.1000000000000001</v>
      </c>
      <c r="Q49" s="63">
        <f t="shared" si="7"/>
        <v>6.0176381383905548</v>
      </c>
      <c r="R49" s="41">
        <f t="shared" si="7"/>
        <v>9.0876517826637997</v>
      </c>
      <c r="S49" s="41">
        <f t="shared" si="7"/>
        <v>1.2</v>
      </c>
      <c r="T49" s="41">
        <f t="shared" si="7"/>
        <v>7.1979008810549283</v>
      </c>
      <c r="U49" s="41">
        <f t="shared" si="7"/>
        <v>9.8994696225611225</v>
      </c>
      <c r="V49" s="41">
        <f t="shared" si="7"/>
        <v>1.25</v>
      </c>
      <c r="W49" s="44">
        <f t="shared" si="7"/>
        <v>8.1676078639364835</v>
      </c>
    </row>
    <row r="50" spans="2:23" x14ac:dyDescent="0.25">
      <c r="B50" s="62" t="s">
        <v>126</v>
      </c>
      <c r="C50" s="40" t="s">
        <v>49</v>
      </c>
      <c r="D50" s="40" t="s">
        <v>50</v>
      </c>
      <c r="E50" s="40" t="s">
        <v>124</v>
      </c>
      <c r="F50" s="41">
        <f>Sheet1!E70</f>
        <v>3.76</v>
      </c>
      <c r="G50" s="41">
        <f>Sheet1!F70</f>
        <v>1.8712580348943986</v>
      </c>
      <c r="H50" s="41">
        <f t="shared" si="3"/>
        <v>1.8887419651056012</v>
      </c>
      <c r="I50" s="41">
        <f>Sheet1!G70</f>
        <v>2.2507548209366393</v>
      </c>
      <c r="J50" s="41">
        <f>Sheet1!H70</f>
        <v>1.8887419651056012</v>
      </c>
      <c r="K50" s="41">
        <f>Sheet1!I70</f>
        <v>5</v>
      </c>
      <c r="L50" s="41">
        <f>Sheet1!J70</f>
        <v>7.2764880427313479</v>
      </c>
      <c r="M50" s="41">
        <f>Sheet1!K70</f>
        <v>1</v>
      </c>
      <c r="N50" s="41">
        <f>Sheet1!L70</f>
        <v>16.377590541665391</v>
      </c>
      <c r="O50" s="41">
        <f>Sheet1!M70</f>
        <v>8.2882042507758182</v>
      </c>
      <c r="P50" s="41">
        <f>Sheet1!N70</f>
        <v>1.1000000000000001</v>
      </c>
      <c r="Q50" s="63">
        <f>Sheet1!O70</f>
        <v>20.520187241775343</v>
      </c>
      <c r="R50" s="41">
        <f>Sheet1!P70</f>
        <v>9.0876517826637997</v>
      </c>
      <c r="S50" s="41">
        <f>Sheet1!Q70</f>
        <v>1.2</v>
      </c>
      <c r="T50" s="41">
        <f>Sheet1!R70</f>
        <v>24.544891272988789</v>
      </c>
      <c r="U50" s="41">
        <f>Sheet1!S70</f>
        <v>9.8994696225611225</v>
      </c>
      <c r="V50" s="41">
        <f>Sheet1!T70</f>
        <v>1.25</v>
      </c>
      <c r="W50" s="44">
        <f>Sheet1!U70</f>
        <v>27.851598722119071</v>
      </c>
    </row>
    <row r="51" spans="2:23" ht="16.5" thickBot="1" x14ac:dyDescent="0.3">
      <c r="B51" s="64" t="s">
        <v>126</v>
      </c>
      <c r="C51" s="25" t="s">
        <v>77</v>
      </c>
      <c r="D51" s="25" t="s">
        <v>69</v>
      </c>
      <c r="E51" s="25" t="s">
        <v>125</v>
      </c>
      <c r="F51" s="48">
        <f>Sheet1!E71</f>
        <v>71.89</v>
      </c>
      <c r="G51" s="48">
        <f>Sheet1!F71</f>
        <v>1.5618457300275481</v>
      </c>
      <c r="H51" s="48">
        <f t="shared" si="3"/>
        <v>70.328154269972458</v>
      </c>
      <c r="I51" s="48">
        <f>Sheet1!G71</f>
        <v>22.504107438016533</v>
      </c>
      <c r="J51" s="48">
        <f>Sheet1!H71</f>
        <v>70.328154269972458</v>
      </c>
      <c r="K51" s="48">
        <f>Sheet1!I71</f>
        <v>59.28</v>
      </c>
      <c r="L51" s="48">
        <f>Sheet1!J71</f>
        <v>2.8876499477340736</v>
      </c>
      <c r="M51" s="48">
        <f>Sheet1!K71</f>
        <v>1</v>
      </c>
      <c r="N51" s="48">
        <f>Sheet1!L71</f>
        <v>64.983984667190413</v>
      </c>
      <c r="O51" s="48">
        <f>Sheet1!M71</f>
        <v>3.2266331417253102</v>
      </c>
      <c r="P51" s="48">
        <f>Sheet1!N71</f>
        <v>1.1000000000000001</v>
      </c>
      <c r="Q51" s="65">
        <f>Sheet1!O71</f>
        <v>79.873748772896334</v>
      </c>
      <c r="R51" s="48">
        <f>Sheet1!P71</f>
        <v>3.4867401001300524</v>
      </c>
      <c r="S51" s="48">
        <f>Sheet1!Q71</f>
        <v>1.2</v>
      </c>
      <c r="T51" s="48">
        <f>Sheet1!R71</f>
        <v>94.159168586120671</v>
      </c>
      <c r="U51" s="48">
        <f>Sheet1!S71</f>
        <v>3.7434025368601498</v>
      </c>
      <c r="V51" s="48">
        <f>Sheet1!T71</f>
        <v>1.25</v>
      </c>
      <c r="W51" s="51">
        <f>Sheet1!U71</f>
        <v>105.30241609155556</v>
      </c>
    </row>
  </sheetData>
  <mergeCells count="12">
    <mergeCell ref="L38:N38"/>
    <mergeCell ref="O38:Q38"/>
    <mergeCell ref="R38:T38"/>
    <mergeCell ref="U38:W38"/>
    <mergeCell ref="L2:N2"/>
    <mergeCell ref="O2:Q2"/>
    <mergeCell ref="R2:T2"/>
    <mergeCell ref="U2:W2"/>
    <mergeCell ref="L15:N15"/>
    <mergeCell ref="O15:Q15"/>
    <mergeCell ref="R15:T15"/>
    <mergeCell ref="U15:W15"/>
  </mergeCells>
  <pageMargins left="0.7" right="0.7" top="0.75" bottom="0.75" header="0.3" footer="0.3"/>
  <pageSetup paperSize="3" scale="78" orientation="landscape" horizontalDpi="30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W52"/>
  <sheetViews>
    <sheetView workbookViewId="0">
      <selection activeCell="F4" sqref="F4"/>
    </sheetView>
  </sheetViews>
  <sheetFormatPr defaultRowHeight="15.75" x14ac:dyDescent="0.25"/>
  <cols>
    <col min="1" max="1" width="9.140625" style="20"/>
    <col min="2" max="2" width="16.85546875" style="20" customWidth="1"/>
    <col min="3" max="3" width="14.85546875" style="20" customWidth="1"/>
    <col min="4" max="4" width="9.140625" style="20"/>
    <col min="5" max="5" width="17.28515625" style="20" customWidth="1"/>
    <col min="6" max="6" width="16.5703125" style="20" customWidth="1"/>
    <col min="7" max="8" width="12.85546875" style="20" customWidth="1"/>
    <col min="9" max="9" width="10.5703125" style="20" bestFit="1" customWidth="1"/>
    <col min="10" max="10" width="13.42578125" style="20" hidden="1" customWidth="1"/>
    <col min="11" max="11" width="11.5703125" style="20" bestFit="1" customWidth="1"/>
    <col min="12" max="13" width="10.5703125" style="20" bestFit="1" customWidth="1"/>
    <col min="14" max="14" width="11.5703125" style="20" bestFit="1" customWidth="1"/>
    <col min="15" max="16" width="10.5703125" style="20" bestFit="1" customWidth="1"/>
    <col min="17" max="17" width="11.5703125" style="20" bestFit="1" customWidth="1"/>
    <col min="18" max="19" width="10.5703125" style="20" bestFit="1" customWidth="1"/>
    <col min="20" max="20" width="11.5703125" style="20" bestFit="1" customWidth="1"/>
    <col min="21" max="22" width="10.5703125" style="20" bestFit="1" customWidth="1"/>
    <col min="23" max="23" width="11.5703125" style="20" bestFit="1" customWidth="1"/>
    <col min="24" max="16384" width="9.140625" style="20"/>
  </cols>
  <sheetData>
    <row r="1" spans="2:23" ht="16.5" thickBot="1" x14ac:dyDescent="0.3"/>
    <row r="2" spans="2:23" x14ac:dyDescent="0.25">
      <c r="B2" s="21"/>
      <c r="C2" s="22"/>
      <c r="D2" s="22"/>
      <c r="E2" s="22"/>
      <c r="F2" s="22"/>
      <c r="G2" s="22" t="s">
        <v>132</v>
      </c>
      <c r="H2" s="22" t="s">
        <v>133</v>
      </c>
      <c r="I2" s="22"/>
      <c r="J2" s="22"/>
      <c r="K2" s="23"/>
      <c r="L2" s="90" t="s">
        <v>15</v>
      </c>
      <c r="M2" s="88"/>
      <c r="N2" s="89"/>
      <c r="O2" s="90" t="s">
        <v>16</v>
      </c>
      <c r="P2" s="88"/>
      <c r="Q2" s="89"/>
      <c r="R2" s="91" t="s">
        <v>1</v>
      </c>
      <c r="S2" s="88"/>
      <c r="T2" s="92"/>
      <c r="U2" s="90" t="s">
        <v>6</v>
      </c>
      <c r="V2" s="88"/>
      <c r="W2" s="89"/>
    </row>
    <row r="3" spans="2:23" ht="32.25" thickBot="1" x14ac:dyDescent="0.3">
      <c r="B3" s="67" t="s">
        <v>129</v>
      </c>
      <c r="C3" s="68" t="s">
        <v>130</v>
      </c>
      <c r="D3" s="68" t="s">
        <v>131</v>
      </c>
      <c r="E3" s="68" t="s">
        <v>97</v>
      </c>
      <c r="F3" s="69" t="s">
        <v>13</v>
      </c>
      <c r="G3" s="69" t="s">
        <v>119</v>
      </c>
      <c r="H3" s="69" t="str">
        <f>J3</f>
        <v>unimproved area (Acre)</v>
      </c>
      <c r="I3" s="68" t="s">
        <v>7</v>
      </c>
      <c r="J3" s="69" t="s">
        <v>118</v>
      </c>
      <c r="K3" s="70" t="s">
        <v>102</v>
      </c>
      <c r="L3" s="67" t="s">
        <v>3</v>
      </c>
      <c r="M3" s="68" t="s">
        <v>4</v>
      </c>
      <c r="N3" s="71" t="s">
        <v>5</v>
      </c>
      <c r="O3" s="67" t="s">
        <v>3</v>
      </c>
      <c r="P3" s="68" t="s">
        <v>4</v>
      </c>
      <c r="Q3" s="71" t="s">
        <v>5</v>
      </c>
      <c r="R3" s="72" t="s">
        <v>3</v>
      </c>
      <c r="S3" s="68" t="s">
        <v>4</v>
      </c>
      <c r="T3" s="70" t="s">
        <v>5</v>
      </c>
      <c r="U3" s="67" t="s">
        <v>3</v>
      </c>
      <c r="V3" s="68" t="s">
        <v>4</v>
      </c>
      <c r="W3" s="71" t="s">
        <v>5</v>
      </c>
    </row>
    <row r="4" spans="2:23" x14ac:dyDescent="0.25">
      <c r="B4" s="21" t="s">
        <v>55</v>
      </c>
      <c r="C4" s="22" t="s">
        <v>51</v>
      </c>
      <c r="D4" s="22" t="s">
        <v>60</v>
      </c>
      <c r="E4" s="22" t="s">
        <v>52</v>
      </c>
      <c r="F4" s="74">
        <v>103.43770000000001</v>
      </c>
      <c r="G4" s="74">
        <v>18.040469054178146</v>
      </c>
      <c r="H4" s="75">
        <f>J4</f>
        <v>85.39723094582186</v>
      </c>
      <c r="I4" s="74">
        <v>28.812051432506884</v>
      </c>
      <c r="J4" s="74">
        <v>85.39723094582186</v>
      </c>
      <c r="K4" s="74">
        <v>76.61999999999999</v>
      </c>
      <c r="L4" s="74">
        <v>2.4198023658282146</v>
      </c>
      <c r="M4" s="74">
        <v>1</v>
      </c>
      <c r="N4" s="74">
        <v>69.719470220744356</v>
      </c>
      <c r="O4" s="74">
        <v>2.7007605814991353</v>
      </c>
      <c r="P4" s="74">
        <v>1.1000000000000001</v>
      </c>
      <c r="Q4" s="74">
        <v>85.595898059144318</v>
      </c>
      <c r="R4" s="74">
        <v>2.9159959866119505</v>
      </c>
      <c r="S4" s="74">
        <v>1.2</v>
      </c>
      <c r="T4" s="76">
        <v>100.81899161189661</v>
      </c>
      <c r="U4" s="74">
        <v>3.1280094279425281</v>
      </c>
      <c r="V4" s="74">
        <v>1.25</v>
      </c>
      <c r="W4" s="77">
        <v>112.6554606490582</v>
      </c>
    </row>
    <row r="5" spans="2:23" x14ac:dyDescent="0.25">
      <c r="B5" s="39" t="str">
        <f>B7</f>
        <v xml:space="preserve">CULVERT </v>
      </c>
      <c r="C5" s="40" t="str">
        <f t="shared" ref="C5:W5" si="0">C7</f>
        <v>RAMP 2 AND 1</v>
      </c>
      <c r="D5" s="40" t="str">
        <f t="shared" si="0"/>
        <v>XS</v>
      </c>
      <c r="E5" s="40" t="str">
        <f t="shared" si="0"/>
        <v>219+00/144+79</v>
      </c>
      <c r="F5" s="41">
        <f t="shared" si="0"/>
        <v>88.078299999999999</v>
      </c>
      <c r="G5" s="41">
        <f t="shared" si="0"/>
        <v>9.3548451790633607</v>
      </c>
      <c r="H5" s="41">
        <f t="shared" si="0"/>
        <v>78.723454820936638</v>
      </c>
      <c r="I5" s="41">
        <f t="shared" si="0"/>
        <v>18.701397107438019</v>
      </c>
      <c r="J5" s="41">
        <f t="shared" si="0"/>
        <v>78.723454820936638</v>
      </c>
      <c r="K5" s="41">
        <f t="shared" si="0"/>
        <v>82.98</v>
      </c>
      <c r="L5" s="41">
        <f t="shared" si="0"/>
        <v>2.2839673698071761</v>
      </c>
      <c r="M5" s="41">
        <f t="shared" si="0"/>
        <v>1</v>
      </c>
      <c r="N5" s="41">
        <f t="shared" si="0"/>
        <v>42.713380763194742</v>
      </c>
      <c r="O5" s="41">
        <f t="shared" si="0"/>
        <v>2.5484874286896297</v>
      </c>
      <c r="P5" s="41">
        <f t="shared" si="0"/>
        <v>1.1000000000000001</v>
      </c>
      <c r="Q5" s="41">
        <f t="shared" si="0"/>
        <v>52.426302969962244</v>
      </c>
      <c r="R5" s="41">
        <f t="shared" si="0"/>
        <v>2.7510549820237573</v>
      </c>
      <c r="S5" s="41">
        <f t="shared" si="0"/>
        <v>1.2</v>
      </c>
      <c r="T5" s="58">
        <f t="shared" si="0"/>
        <v>61.738286019866457</v>
      </c>
      <c r="U5" s="41">
        <f t="shared" si="0"/>
        <v>2.992652446427857</v>
      </c>
      <c r="V5" s="41">
        <f t="shared" si="0"/>
        <v>1.25</v>
      </c>
      <c r="W5" s="47">
        <f t="shared" si="0"/>
        <v>69.958477256491548</v>
      </c>
    </row>
    <row r="6" spans="2:23" x14ac:dyDescent="0.25">
      <c r="B6" s="39" t="str">
        <f>Sheet1!A53</f>
        <v xml:space="preserve">CULVERT </v>
      </c>
      <c r="C6" s="40" t="str">
        <f>Sheet1!B53</f>
        <v>RAMP2</v>
      </c>
      <c r="D6" s="40" t="str">
        <f>Sheet1!C53</f>
        <v>XS</v>
      </c>
      <c r="E6" s="40" t="str">
        <f>Sheet1!D53</f>
        <v>216+00</v>
      </c>
      <c r="F6" s="41">
        <f>Sheet1!E53</f>
        <v>6.9337</v>
      </c>
      <c r="G6" s="41">
        <f>Sheet1!F53</f>
        <v>0.34260000000000002</v>
      </c>
      <c r="H6" s="73">
        <f t="shared" ref="H6:H11" si="1">J6</f>
        <v>6.5911</v>
      </c>
      <c r="I6" s="41">
        <f>Sheet1!G53</f>
        <v>2.2856699999999996</v>
      </c>
      <c r="J6" s="41">
        <f>Sheet1!H53</f>
        <v>6.5911</v>
      </c>
      <c r="K6" s="41">
        <f>Sheet1!I53</f>
        <v>20</v>
      </c>
      <c r="L6" s="41">
        <f>Sheet1!J53</f>
        <v>5.1279883252709775</v>
      </c>
      <c r="M6" s="41">
        <f>Sheet1!K53</f>
        <v>1</v>
      </c>
      <c r="N6" s="41">
        <f>Sheet1!L53</f>
        <v>11.720889075422113</v>
      </c>
      <c r="O6" s="41">
        <f>Sheet1!M53</f>
        <v>5.7793620017604477</v>
      </c>
      <c r="P6" s="41">
        <f>Sheet1!N53</f>
        <v>1.1000000000000001</v>
      </c>
      <c r="Q6" s="41">
        <f>Sheet1!O53</f>
        <v>14.53068578122018</v>
      </c>
      <c r="R6" s="41">
        <f>Sheet1!P53</f>
        <v>6.2855184586943942</v>
      </c>
      <c r="S6" s="41">
        <f>Sheet1!Q53</f>
        <v>1.2</v>
      </c>
      <c r="T6" s="58">
        <f>Sheet1!R53</f>
        <v>17.239945170580814</v>
      </c>
      <c r="U6" s="41">
        <f>Sheet1!S53</f>
        <v>6.8456295772959823</v>
      </c>
      <c r="V6" s="41">
        <f>Sheet1!T53</f>
        <v>1.25</v>
      </c>
      <c r="W6" s="47">
        <f>Sheet1!U53</f>
        <v>19.558562694922632</v>
      </c>
    </row>
    <row r="7" spans="2:23" hidden="1" x14ac:dyDescent="0.25">
      <c r="B7" s="39" t="str">
        <f>Sheet1!A55</f>
        <v xml:space="preserve">CULVERT </v>
      </c>
      <c r="C7" s="40" t="s">
        <v>92</v>
      </c>
      <c r="D7" s="40" t="str">
        <f>Sheet1!C55</f>
        <v>XS</v>
      </c>
      <c r="E7" s="40" t="str">
        <f>Sheet1!D55</f>
        <v>219+00/144+79</v>
      </c>
      <c r="F7" s="41">
        <f>Sheet1!E55</f>
        <v>88.078299999999999</v>
      </c>
      <c r="G7" s="41">
        <f>Sheet1!F55</f>
        <v>9.3548451790633607</v>
      </c>
      <c r="H7" s="73">
        <f t="shared" si="1"/>
        <v>78.723454820936638</v>
      </c>
      <c r="I7" s="41">
        <f>Sheet1!G55</f>
        <v>18.701397107438019</v>
      </c>
      <c r="J7" s="41">
        <f>Sheet1!H55</f>
        <v>78.723454820936638</v>
      </c>
      <c r="K7" s="41">
        <f>Sheet1!I55</f>
        <v>82.98</v>
      </c>
      <c r="L7" s="41">
        <f>Sheet1!J55</f>
        <v>2.2839673698071761</v>
      </c>
      <c r="M7" s="41">
        <f>Sheet1!K55</f>
        <v>1</v>
      </c>
      <c r="N7" s="41">
        <f>Sheet1!L55</f>
        <v>42.713380763194742</v>
      </c>
      <c r="O7" s="41">
        <f>Sheet1!M55</f>
        <v>2.5484874286896297</v>
      </c>
      <c r="P7" s="41">
        <f>Sheet1!N55</f>
        <v>1.1000000000000001</v>
      </c>
      <c r="Q7" s="41">
        <f>Sheet1!O55</f>
        <v>52.426302969962244</v>
      </c>
      <c r="R7" s="41">
        <f>Sheet1!P55</f>
        <v>2.7510549820237573</v>
      </c>
      <c r="S7" s="41">
        <f>Sheet1!Q55</f>
        <v>1.2</v>
      </c>
      <c r="T7" s="58">
        <f>Sheet1!R55</f>
        <v>61.738286019866457</v>
      </c>
      <c r="U7" s="41">
        <f>Sheet1!S55</f>
        <v>2.992652446427857</v>
      </c>
      <c r="V7" s="41">
        <f>Sheet1!T55</f>
        <v>1.25</v>
      </c>
      <c r="W7" s="47">
        <f>Sheet1!U55</f>
        <v>69.958477256491548</v>
      </c>
    </row>
    <row r="8" spans="2:23" x14ac:dyDescent="0.25">
      <c r="B8" s="39" t="str">
        <f>Sheet1!A58</f>
        <v>CULVERT</v>
      </c>
      <c r="C8" s="40" t="str">
        <f>Sheet1!B58</f>
        <v>RAMP3</v>
      </c>
      <c r="D8" s="40" t="str">
        <f>Sheet1!C58</f>
        <v>XS</v>
      </c>
      <c r="E8" s="40" t="str">
        <f>Sheet1!D58</f>
        <v>312+18</v>
      </c>
      <c r="F8" s="41">
        <f>Sheet1!E58</f>
        <v>96.428299999999993</v>
      </c>
      <c r="G8" s="41">
        <f>Sheet1!F58</f>
        <v>11.581145179063361</v>
      </c>
      <c r="H8" s="73">
        <f t="shared" si="1"/>
        <v>84.847154820936638</v>
      </c>
      <c r="I8" s="41">
        <f>Sheet1!G58</f>
        <v>22.542177107438022</v>
      </c>
      <c r="J8" s="41">
        <f>Sheet1!H58</f>
        <v>84.847154820936638</v>
      </c>
      <c r="K8" s="41">
        <f>Sheet1!I58</f>
        <v>82.98</v>
      </c>
      <c r="L8" s="41">
        <f>Sheet1!J58</f>
        <v>2.2839673698071761</v>
      </c>
      <c r="M8" s="41">
        <f>Sheet1!K58</f>
        <v>1</v>
      </c>
      <c r="N8" s="41">
        <f>Sheet1!L58</f>
        <v>51.485596957802755</v>
      </c>
      <c r="O8" s="41">
        <f>Sheet1!M58</f>
        <v>2.5484874286896297</v>
      </c>
      <c r="P8" s="41">
        <f>Sheet1!N58</f>
        <v>1.1000000000000001</v>
      </c>
      <c r="Q8" s="41">
        <f>Sheet1!O58</f>
        <v>63.193300470961063</v>
      </c>
      <c r="R8" s="41">
        <f>Sheet1!P58</f>
        <v>2.7510549820237573</v>
      </c>
      <c r="S8" s="41">
        <f>Sheet1!Q58</f>
        <v>1.2</v>
      </c>
      <c r="T8" s="58">
        <f>Sheet1!R58</f>
        <v>74.417722364495106</v>
      </c>
      <c r="U8" s="41">
        <f>Sheet1!S58</f>
        <v>2.992652446427857</v>
      </c>
      <c r="V8" s="41">
        <f>Sheet1!T58</f>
        <v>1.25</v>
      </c>
      <c r="W8" s="47">
        <f>Sheet1!U58</f>
        <v>84.326126835480537</v>
      </c>
    </row>
    <row r="9" spans="2:23" x14ac:dyDescent="0.25">
      <c r="B9" s="39" t="str">
        <f>Sheet1!A59</f>
        <v>CULVERT</v>
      </c>
      <c r="C9" s="40" t="str">
        <f>Sheet1!B59</f>
        <v>RAMP 3</v>
      </c>
      <c r="D9" s="40" t="str">
        <f>Sheet1!C59</f>
        <v>LT</v>
      </c>
      <c r="E9" s="40" t="str">
        <f>Sheet1!D59</f>
        <v>318+50</v>
      </c>
      <c r="F9" s="41">
        <f>Sheet1!E59</f>
        <v>10.6363</v>
      </c>
      <c r="G9" s="41">
        <f>Sheet1!F59</f>
        <v>3.0524698806244261</v>
      </c>
      <c r="H9" s="73">
        <f t="shared" si="1"/>
        <v>7.5838301193755733</v>
      </c>
      <c r="I9" s="41">
        <f>Sheet1!G59</f>
        <v>5.022371928374656</v>
      </c>
      <c r="J9" s="41">
        <f>Sheet1!H59</f>
        <v>7.5838301193755733</v>
      </c>
      <c r="K9" s="41">
        <f>Sheet1!I59</f>
        <v>16</v>
      </c>
      <c r="L9" s="41">
        <f>Sheet1!J59</f>
        <v>5.5666820761190863</v>
      </c>
      <c r="M9" s="41">
        <f>Sheet1!K59</f>
        <v>1</v>
      </c>
      <c r="N9" s="41">
        <f>Sheet1!L59</f>
        <v>27.957947793286849</v>
      </c>
      <c r="O9" s="41">
        <f>Sheet1!M59</f>
        <v>6.2865573285921874</v>
      </c>
      <c r="P9" s="41">
        <f>Sheet1!N59</f>
        <v>1.1000000000000001</v>
      </c>
      <c r="Q9" s="41">
        <f>Sheet1!O59</f>
        <v>34.730771958563309</v>
      </c>
      <c r="R9" s="41">
        <f>Sheet1!P59</f>
        <v>6.847696740137482</v>
      </c>
      <c r="S9" s="41">
        <f>Sheet1!Q59</f>
        <v>1.2</v>
      </c>
      <c r="T9" s="58">
        <f>Sheet1!R59</f>
        <v>41.270015858026952</v>
      </c>
      <c r="U9" s="41">
        <f>Sheet1!S59</f>
        <v>7.4100943163427635</v>
      </c>
      <c r="V9" s="41">
        <f>Sheet1!T59</f>
        <v>1.25</v>
      </c>
      <c r="W9" s="47">
        <f>Sheet1!U59</f>
        <v>46.5203121012606</v>
      </c>
    </row>
    <row r="10" spans="2:23" x14ac:dyDescent="0.25">
      <c r="B10" s="39" t="str">
        <f>Sheet1!A57</f>
        <v xml:space="preserve">CULVERT </v>
      </c>
      <c r="C10" s="40" t="str">
        <f>Sheet1!B57</f>
        <v>RAMP 4</v>
      </c>
      <c r="D10" s="40" t="str">
        <f>Sheet1!C57</f>
        <v>XS</v>
      </c>
      <c r="E10" s="40" t="str">
        <f>Sheet1!D57</f>
        <v>421+50</v>
      </c>
      <c r="F10" s="41">
        <f>Sheet1!E57</f>
        <v>95.488299999999995</v>
      </c>
      <c r="G10" s="41">
        <f>Sheet1!F57</f>
        <v>11.382245179063361</v>
      </c>
      <c r="H10" s="73">
        <f t="shared" si="1"/>
        <v>84.106054820936635</v>
      </c>
      <c r="I10" s="41">
        <f>Sheet1!G57</f>
        <v>22.140837107438021</v>
      </c>
      <c r="J10" s="41">
        <f>Sheet1!H57</f>
        <v>84.106054820936635</v>
      </c>
      <c r="K10" s="41">
        <f>Sheet1!I57</f>
        <v>82.98</v>
      </c>
      <c r="L10" s="41">
        <f>Sheet1!J57</f>
        <v>2.2839673698071761</v>
      </c>
      <c r="M10" s="41">
        <f>Sheet1!K57</f>
        <v>1</v>
      </c>
      <c r="N10" s="41">
        <f>Sheet1!L57</f>
        <v>50.568949493604343</v>
      </c>
      <c r="O10" s="41">
        <f>Sheet1!M57</f>
        <v>2.5484874286896297</v>
      </c>
      <c r="P10" s="41">
        <f>Sheet1!N57</f>
        <v>1.1000000000000001</v>
      </c>
      <c r="Q10" s="41">
        <f>Sheet1!O57</f>
        <v>62.06820953186773</v>
      </c>
      <c r="R10" s="41">
        <f>Sheet1!P57</f>
        <v>2.7510549820237573</v>
      </c>
      <c r="S10" s="41">
        <f>Sheet1!Q57</f>
        <v>1.2</v>
      </c>
      <c r="T10" s="58">
        <f>Sheet1!R57</f>
        <v>73.092792276712615</v>
      </c>
      <c r="U10" s="41">
        <f>Sheet1!S57</f>
        <v>2.992652446427857</v>
      </c>
      <c r="V10" s="41">
        <f>Sheet1!T57</f>
        <v>1.25</v>
      </c>
      <c r="W10" s="47">
        <f>Sheet1!U57</f>
        <v>82.824787919418839</v>
      </c>
    </row>
    <row r="11" spans="2:23" ht="16.5" thickBot="1" x14ac:dyDescent="0.3">
      <c r="B11" s="24" t="s">
        <v>55</v>
      </c>
      <c r="C11" s="25" t="str">
        <f>Sheet1!B49</f>
        <v>RAMP 4</v>
      </c>
      <c r="D11" s="25" t="s">
        <v>60</v>
      </c>
      <c r="E11" s="25" t="s">
        <v>90</v>
      </c>
      <c r="F11" s="48">
        <f>Sheet1!E49</f>
        <v>43.357700000000001</v>
      </c>
      <c r="G11" s="48">
        <f>Sheet1!F49</f>
        <v>1.44</v>
      </c>
      <c r="H11" s="66">
        <f t="shared" si="1"/>
        <v>41.917700000000004</v>
      </c>
      <c r="I11" s="48">
        <f>Sheet1!G49</f>
        <v>5.4877700000000011</v>
      </c>
      <c r="J11" s="48">
        <f>Sheet1!H49</f>
        <v>41.917700000000004</v>
      </c>
      <c r="K11" s="48">
        <f>Sheet1!I49</f>
        <v>62</v>
      </c>
      <c r="L11" s="48">
        <f>Sheet1!J49</f>
        <v>2.8026954609863979</v>
      </c>
      <c r="M11" s="48">
        <f>Sheet1!K49</f>
        <v>1</v>
      </c>
      <c r="N11" s="48">
        <f>Sheet1!L49</f>
        <v>15.380548069937328</v>
      </c>
      <c r="O11" s="48">
        <f>Sheet1!M49</f>
        <v>3.1309743740122693</v>
      </c>
      <c r="P11" s="48">
        <f>Sheet1!N49</f>
        <v>1.1000000000000001</v>
      </c>
      <c r="Q11" s="48">
        <f>Sheet1!O49</f>
        <v>18.900273964520647</v>
      </c>
      <c r="R11" s="48">
        <f>Sheet1!P49</f>
        <v>3.3827849060504285</v>
      </c>
      <c r="S11" s="48">
        <f>Sheet1!Q49</f>
        <v>1.2</v>
      </c>
      <c r="T11" s="59">
        <f>Sheet1!R49</f>
        <v>22.276734628651635</v>
      </c>
      <c r="U11" s="48">
        <f>Sheet1!S49</f>
        <v>3.631174333038528</v>
      </c>
      <c r="V11" s="48">
        <f>Sheet1!T49</f>
        <v>1.25</v>
      </c>
      <c r="W11" s="54">
        <f>Sheet1!U49</f>
        <v>24.90881196202356</v>
      </c>
    </row>
    <row r="12" spans="2:23" x14ac:dyDescent="0.25">
      <c r="B12" s="55"/>
      <c r="C12" s="55"/>
      <c r="D12" s="55"/>
      <c r="E12" s="55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</row>
    <row r="13" spans="2:23" x14ac:dyDescent="0.25">
      <c r="B13" s="55"/>
      <c r="C13" s="55"/>
      <c r="D13" s="55"/>
      <c r="E13" s="55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</row>
    <row r="14" spans="2:23" x14ac:dyDescent="0.25">
      <c r="B14" s="55"/>
      <c r="C14" s="55"/>
      <c r="D14" s="55"/>
      <c r="E14" s="55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</row>
    <row r="15" spans="2:23" ht="16.5" thickBot="1" x14ac:dyDescent="0.3">
      <c r="B15" s="55"/>
      <c r="C15" s="55"/>
      <c r="D15" s="55"/>
      <c r="E15" s="55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</row>
    <row r="16" spans="2:23" x14ac:dyDescent="0.25">
      <c r="B16" s="21"/>
      <c r="C16" s="22"/>
      <c r="D16" s="22"/>
      <c r="E16" s="22"/>
      <c r="F16" s="22"/>
      <c r="G16" s="22" t="s">
        <v>132</v>
      </c>
      <c r="H16" s="22" t="s">
        <v>133</v>
      </c>
      <c r="I16" s="22"/>
      <c r="J16" s="22"/>
      <c r="K16" s="23"/>
      <c r="L16" s="90" t="s">
        <v>15</v>
      </c>
      <c r="M16" s="88"/>
      <c r="N16" s="89"/>
      <c r="O16" s="90" t="s">
        <v>16</v>
      </c>
      <c r="P16" s="88"/>
      <c r="Q16" s="89"/>
      <c r="R16" s="91" t="s">
        <v>1</v>
      </c>
      <c r="S16" s="88"/>
      <c r="T16" s="89"/>
      <c r="U16" s="90" t="s">
        <v>6</v>
      </c>
      <c r="V16" s="88"/>
      <c r="W16" s="89"/>
    </row>
    <row r="17" spans="2:23" ht="32.25" thickBot="1" x14ac:dyDescent="0.3">
      <c r="B17" s="24" t="s">
        <v>129</v>
      </c>
      <c r="C17" s="25" t="s">
        <v>130</v>
      </c>
      <c r="D17" s="25" t="s">
        <v>131</v>
      </c>
      <c r="E17" s="25" t="s">
        <v>97</v>
      </c>
      <c r="F17" s="26" t="s">
        <v>13</v>
      </c>
      <c r="G17" s="26" t="s">
        <v>119</v>
      </c>
      <c r="H17" s="26" t="str">
        <f t="shared" ref="H17:H36" si="2">J17</f>
        <v>unimproved area (Acre)</v>
      </c>
      <c r="I17" s="25" t="s">
        <v>7</v>
      </c>
      <c r="J17" s="26" t="s">
        <v>118</v>
      </c>
      <c r="K17" s="27" t="s">
        <v>102</v>
      </c>
      <c r="L17" s="24" t="s">
        <v>3</v>
      </c>
      <c r="M17" s="25" t="s">
        <v>4</v>
      </c>
      <c r="N17" s="28" t="s">
        <v>5</v>
      </c>
      <c r="O17" s="24" t="s">
        <v>3</v>
      </c>
      <c r="P17" s="25" t="s">
        <v>4</v>
      </c>
      <c r="Q17" s="28" t="s">
        <v>5</v>
      </c>
      <c r="R17" s="29" t="s">
        <v>3</v>
      </c>
      <c r="S17" s="25" t="s">
        <v>4</v>
      </c>
      <c r="T17" s="28" t="s">
        <v>5</v>
      </c>
      <c r="U17" s="24" t="s">
        <v>3</v>
      </c>
      <c r="V17" s="25" t="s">
        <v>4</v>
      </c>
      <c r="W17" s="28" t="s">
        <v>5</v>
      </c>
    </row>
    <row r="18" spans="2:23" x14ac:dyDescent="0.25">
      <c r="B18" s="30" t="s">
        <v>135</v>
      </c>
      <c r="C18" s="31" t="s">
        <v>49</v>
      </c>
      <c r="D18" s="31" t="s">
        <v>60</v>
      </c>
      <c r="E18" s="31" t="s">
        <v>103</v>
      </c>
      <c r="F18" s="32">
        <f>Sheet1!E12</f>
        <v>0.99</v>
      </c>
      <c r="G18" s="32">
        <f>Sheet1!F12</f>
        <v>0.79834710743801651</v>
      </c>
      <c r="H18" s="32">
        <f t="shared" si="2"/>
        <v>0.19165289256198348</v>
      </c>
      <c r="I18" s="32">
        <f>Sheet1!G12</f>
        <v>0.7760082644628099</v>
      </c>
      <c r="J18" s="32">
        <f>Sheet1!H12</f>
        <v>0.19165289256198348</v>
      </c>
      <c r="K18" s="33">
        <f>Sheet1!I12</f>
        <v>5</v>
      </c>
      <c r="L18" s="34">
        <f>Sheet1!J12</f>
        <v>7.2764880427313479</v>
      </c>
      <c r="M18" s="32">
        <f>Sheet1!K12</f>
        <v>1</v>
      </c>
      <c r="N18" s="35">
        <f>Sheet1!L12</f>
        <v>5.6466148574243418</v>
      </c>
      <c r="O18" s="34">
        <f>Sheet1!M12</f>
        <v>8.2882042507758182</v>
      </c>
      <c r="P18" s="32">
        <f>Sheet1!N12</f>
        <v>1.1000000000000001</v>
      </c>
      <c r="Q18" s="35">
        <f>Sheet1!O12</f>
        <v>7.0748864957736091</v>
      </c>
      <c r="R18" s="36">
        <f>Sheet1!P12</f>
        <v>9.0876517826637997</v>
      </c>
      <c r="S18" s="32">
        <f>Sheet1!Q12</f>
        <v>1.2</v>
      </c>
      <c r="T18" s="57">
        <f>Sheet1!R12</f>
        <v>8.4625114654887543</v>
      </c>
      <c r="U18" s="32">
        <f>Sheet1!S12</f>
        <v>9.8994696225611225</v>
      </c>
      <c r="V18" s="32">
        <f>Sheet1!T12</f>
        <v>1.25</v>
      </c>
      <c r="W18" s="38">
        <f>Sheet1!U12</f>
        <v>9.6025878011324561</v>
      </c>
    </row>
    <row r="19" spans="2:23" x14ac:dyDescent="0.25">
      <c r="B19" s="30" t="s">
        <v>135</v>
      </c>
      <c r="C19" s="40" t="s">
        <v>49</v>
      </c>
      <c r="D19" s="40" t="s">
        <v>60</v>
      </c>
      <c r="E19" s="40" t="s">
        <v>104</v>
      </c>
      <c r="F19" s="41">
        <f>Sheet1!E13</f>
        <v>1.58</v>
      </c>
      <c r="G19" s="41">
        <f>Sheet1!F13</f>
        <v>1.2756657483930212</v>
      </c>
      <c r="H19" s="32">
        <f t="shared" si="2"/>
        <v>0.30433425160697891</v>
      </c>
      <c r="I19" s="41">
        <f>Sheet1!G13</f>
        <v>1.2393994490358129</v>
      </c>
      <c r="J19" s="41">
        <f>Sheet1!H13</f>
        <v>0.30433425160697891</v>
      </c>
      <c r="K19" s="42">
        <f>Sheet1!I13</f>
        <v>5</v>
      </c>
      <c r="L19" s="43">
        <f>Sheet1!J13</f>
        <v>7.2764880427313479</v>
      </c>
      <c r="M19" s="41">
        <f>Sheet1!K13</f>
        <v>1</v>
      </c>
      <c r="N19" s="44">
        <f>Sheet1!L13</f>
        <v>9.0184752710769125</v>
      </c>
      <c r="O19" s="43">
        <f>Sheet1!M13</f>
        <v>8.2882042507758182</v>
      </c>
      <c r="P19" s="41">
        <f>Sheet1!N13</f>
        <v>1.1000000000000001</v>
      </c>
      <c r="Q19" s="44">
        <f>Sheet1!O13</f>
        <v>11.299635360098616</v>
      </c>
      <c r="R19" s="45">
        <f>Sheet1!P13</f>
        <v>9.0876517826637997</v>
      </c>
      <c r="S19" s="41">
        <f>Sheet1!Q13</f>
        <v>1.2</v>
      </c>
      <c r="T19" s="58">
        <f>Sheet1!R13</f>
        <v>13.515876734955404</v>
      </c>
      <c r="U19" s="41">
        <f>Sheet1!S13</f>
        <v>9.8994696225611225</v>
      </c>
      <c r="V19" s="41">
        <f>Sheet1!T13</f>
        <v>1.25</v>
      </c>
      <c r="W19" s="47">
        <f>Sheet1!U13</f>
        <v>15.336746494936277</v>
      </c>
    </row>
    <row r="20" spans="2:23" x14ac:dyDescent="0.25">
      <c r="B20" s="30" t="s">
        <v>135</v>
      </c>
      <c r="C20" s="40" t="s">
        <v>49</v>
      </c>
      <c r="D20" s="40" t="s">
        <v>60</v>
      </c>
      <c r="E20" s="40" t="s">
        <v>105</v>
      </c>
      <c r="F20" s="41">
        <f>Sheet1!E14</f>
        <v>0.84</v>
      </c>
      <c r="G20" s="41">
        <f>Sheet1!F14</f>
        <v>0.68007346189164375</v>
      </c>
      <c r="H20" s="32">
        <f t="shared" si="2"/>
        <v>0.15992653810835622</v>
      </c>
      <c r="I20" s="41">
        <f>Sheet1!G14</f>
        <v>0.66004407713498625</v>
      </c>
      <c r="J20" s="41">
        <f>Sheet1!H14</f>
        <v>0.15992653810835622</v>
      </c>
      <c r="K20" s="42">
        <f>Sheet1!I14</f>
        <v>5</v>
      </c>
      <c r="L20" s="43">
        <f>Sheet1!J14</f>
        <v>7.2764880427313479</v>
      </c>
      <c r="M20" s="41">
        <f>Sheet1!K14</f>
        <v>1</v>
      </c>
      <c r="N20" s="44">
        <f>Sheet1!L14</f>
        <v>4.8028028349483751</v>
      </c>
      <c r="O20" s="43">
        <f>Sheet1!M14</f>
        <v>8.2882042507758182</v>
      </c>
      <c r="P20" s="41">
        <f>Sheet1!N14</f>
        <v>1.1000000000000001</v>
      </c>
      <c r="Q20" s="44">
        <f>Sheet1!O14</f>
        <v>6.0176381383905548</v>
      </c>
      <c r="R20" s="45">
        <f>Sheet1!P14</f>
        <v>9.0876517826637997</v>
      </c>
      <c r="S20" s="41">
        <f>Sheet1!Q14</f>
        <v>1.2</v>
      </c>
      <c r="T20" s="58">
        <f>Sheet1!R14</f>
        <v>7.1979008810549283</v>
      </c>
      <c r="U20" s="41">
        <f>Sheet1!S14</f>
        <v>9.8994696225611225</v>
      </c>
      <c r="V20" s="41">
        <f>Sheet1!T14</f>
        <v>1.25</v>
      </c>
      <c r="W20" s="47">
        <f>Sheet1!U14</f>
        <v>8.1676078639364835</v>
      </c>
    </row>
    <row r="21" spans="2:23" x14ac:dyDescent="0.25">
      <c r="B21" s="30" t="s">
        <v>135</v>
      </c>
      <c r="C21" s="40" t="s">
        <v>49</v>
      </c>
      <c r="D21" s="40" t="s">
        <v>60</v>
      </c>
      <c r="E21" s="40" t="s">
        <v>134</v>
      </c>
      <c r="F21" s="41">
        <f>Sheet1!E17</f>
        <v>1.61</v>
      </c>
      <c r="G21" s="41">
        <f>Sheet1!F17</f>
        <v>1.2996584022038569</v>
      </c>
      <c r="H21" s="32">
        <f t="shared" si="2"/>
        <v>0.31034159779614323</v>
      </c>
      <c r="I21" s="41">
        <f>Sheet1!G17</f>
        <v>1.2627950413223141</v>
      </c>
      <c r="J21" s="41">
        <f>Sheet1!H17</f>
        <v>0.31034159779614323</v>
      </c>
      <c r="K21" s="42">
        <f>Sheet1!I17</f>
        <v>5</v>
      </c>
      <c r="L21" s="43">
        <f>Sheet1!J17</f>
        <v>7.2764880427313479</v>
      </c>
      <c r="M21" s="41">
        <f>Sheet1!K17</f>
        <v>1</v>
      </c>
      <c r="N21" s="44">
        <f>Sheet1!L17</f>
        <v>9.1887130186022574</v>
      </c>
      <c r="O21" s="43">
        <f>Sheet1!M17</f>
        <v>8.2882042507758182</v>
      </c>
      <c r="P21" s="41">
        <f>Sheet1!N17</f>
        <v>1.1000000000000001</v>
      </c>
      <c r="Q21" s="44">
        <f>Sheet1!O17</f>
        <v>11.512933552280852</v>
      </c>
      <c r="R21" s="45">
        <f>Sheet1!P17</f>
        <v>9.0876517826637997</v>
      </c>
      <c r="S21" s="41">
        <f>Sheet1!Q17</f>
        <v>1.2</v>
      </c>
      <c r="T21" s="58">
        <f>Sheet1!R17</f>
        <v>13.771009930094081</v>
      </c>
      <c r="U21" s="41">
        <f>Sheet1!S17</f>
        <v>9.8994696225611225</v>
      </c>
      <c r="V21" s="41">
        <f>Sheet1!T17</f>
        <v>1.25</v>
      </c>
      <c r="W21" s="47">
        <f>Sheet1!U17</f>
        <v>15.626251438863832</v>
      </c>
    </row>
    <row r="22" spans="2:23" x14ac:dyDescent="0.25">
      <c r="B22" s="30" t="s">
        <v>135</v>
      </c>
      <c r="C22" s="40" t="s">
        <v>49</v>
      </c>
      <c r="D22" s="40" t="s">
        <v>60</v>
      </c>
      <c r="E22" s="40" t="s">
        <v>109</v>
      </c>
      <c r="F22" s="41">
        <f>Sheet1!E20</f>
        <v>0.52</v>
      </c>
      <c r="G22" s="41">
        <f>Sheet1!F20</f>
        <v>0.42029384756657484</v>
      </c>
      <c r="H22" s="32">
        <f t="shared" si="2"/>
        <v>9.9706152433425177E-2</v>
      </c>
      <c r="I22" s="41">
        <f>Sheet1!G20</f>
        <v>0.40817630853994491</v>
      </c>
      <c r="J22" s="41">
        <f>Sheet1!H20</f>
        <v>9.9706152433425177E-2</v>
      </c>
      <c r="K22" s="42">
        <f>Sheet1!I20</f>
        <v>5</v>
      </c>
      <c r="L22" s="43">
        <f>Sheet1!J20</f>
        <v>7.2764880427313479</v>
      </c>
      <c r="M22" s="41">
        <f>Sheet1!K20</f>
        <v>1</v>
      </c>
      <c r="N22" s="44">
        <f>Sheet1!L20</f>
        <v>2.9700900284171303</v>
      </c>
      <c r="O22" s="43">
        <f>Sheet1!M20</f>
        <v>8.2882042507758182</v>
      </c>
      <c r="P22" s="41">
        <f>Sheet1!N20</f>
        <v>1.1000000000000001</v>
      </c>
      <c r="Q22" s="44">
        <f>Sheet1!O20</f>
        <v>3.7213534770574288</v>
      </c>
      <c r="R22" s="45">
        <f>Sheet1!P20</f>
        <v>9.0876517826637997</v>
      </c>
      <c r="S22" s="41">
        <f>Sheet1!Q20</f>
        <v>1.2</v>
      </c>
      <c r="T22" s="58">
        <f>Sheet1!R20</f>
        <v>4.4512369895329913</v>
      </c>
      <c r="U22" s="41">
        <f>Sheet1!S20</f>
        <v>9.8994696225611225</v>
      </c>
      <c r="V22" s="41">
        <f>Sheet1!T20</f>
        <v>1.25</v>
      </c>
      <c r="W22" s="47">
        <f>Sheet1!U20</f>
        <v>5.0509112088004011</v>
      </c>
    </row>
    <row r="23" spans="2:23" x14ac:dyDescent="0.25">
      <c r="B23" s="30" t="s">
        <v>135</v>
      </c>
      <c r="C23" s="40" t="s">
        <v>49</v>
      </c>
      <c r="D23" s="40" t="s">
        <v>60</v>
      </c>
      <c r="E23" s="40" t="s">
        <v>110</v>
      </c>
      <c r="F23" s="41">
        <f>Sheet1!E21</f>
        <v>1.61</v>
      </c>
      <c r="G23" s="41">
        <f>Sheet1!F21</f>
        <v>1.2984123048668503</v>
      </c>
      <c r="H23" s="32">
        <f t="shared" si="2"/>
        <v>0.31158769513314977</v>
      </c>
      <c r="I23" s="41">
        <f>Sheet1!G21</f>
        <v>1.2620473829201102</v>
      </c>
      <c r="J23" s="41">
        <f>Sheet1!H21</f>
        <v>0.31158769513314977</v>
      </c>
      <c r="K23" s="42">
        <f>Sheet1!I21</f>
        <v>5</v>
      </c>
      <c r="L23" s="43">
        <f>Sheet1!J21</f>
        <v>7.2764880427313479</v>
      </c>
      <c r="M23" s="41">
        <f>Sheet1!K21</f>
        <v>1</v>
      </c>
      <c r="N23" s="44">
        <f>Sheet1!L21</f>
        <v>9.1832726911785727</v>
      </c>
      <c r="O23" s="43">
        <f>Sheet1!M21</f>
        <v>8.2882042507758182</v>
      </c>
      <c r="P23" s="41">
        <f>Sheet1!N21</f>
        <v>1.1000000000000001</v>
      </c>
      <c r="Q23" s="44">
        <f>Sheet1!O21</f>
        <v>11.506117132178851</v>
      </c>
      <c r="R23" s="45">
        <f>Sheet1!P21</f>
        <v>9.0876517826637997</v>
      </c>
      <c r="S23" s="41">
        <f>Sheet1!Q21</f>
        <v>1.2</v>
      </c>
      <c r="T23" s="58">
        <f>Sheet1!R21</f>
        <v>13.762856579040147</v>
      </c>
      <c r="U23" s="41">
        <f>Sheet1!S21</f>
        <v>9.8994696225611225</v>
      </c>
      <c r="V23" s="41">
        <f>Sheet1!T21</f>
        <v>1.25</v>
      </c>
      <c r="W23" s="47">
        <f>Sheet1!U21</f>
        <v>15.616999661812994</v>
      </c>
    </row>
    <row r="24" spans="2:23" x14ac:dyDescent="0.25">
      <c r="B24" s="30" t="s">
        <v>135</v>
      </c>
      <c r="C24" s="40" t="s">
        <v>101</v>
      </c>
      <c r="D24" s="40" t="s">
        <v>50</v>
      </c>
      <c r="E24" s="40" t="s">
        <v>100</v>
      </c>
      <c r="F24" s="41">
        <f>Sheet1!E52</f>
        <v>80.227699999999999</v>
      </c>
      <c r="G24" s="41">
        <f>Sheet1!F52</f>
        <v>7.8062181818181822</v>
      </c>
      <c r="H24" s="32">
        <f t="shared" si="2"/>
        <v>72.421481818181817</v>
      </c>
      <c r="I24" s="41">
        <f>Sheet1!G52</f>
        <v>15.70850090909091</v>
      </c>
      <c r="J24" s="41">
        <f>Sheet1!H52</f>
        <v>72.421481818181817</v>
      </c>
      <c r="K24" s="42">
        <f>Sheet1!I52</f>
        <v>66.179999999999993</v>
      </c>
      <c r="L24" s="43">
        <f>Sheet1!J52</f>
        <v>2.6814319161120563</v>
      </c>
      <c r="M24" s="41">
        <f>Sheet1!K52</f>
        <v>1</v>
      </c>
      <c r="N24" s="44">
        <f>Sheet1!L52</f>
        <v>42.12127569191162</v>
      </c>
      <c r="O24" s="43">
        <f>Sheet1!M52</f>
        <v>2.9945625984021031</v>
      </c>
      <c r="P24" s="41">
        <f>Sheet1!N52</f>
        <v>1.1000000000000001</v>
      </c>
      <c r="Q24" s="44">
        <f>Sheet1!O52</f>
        <v>51.744098229261986</v>
      </c>
      <c r="R24" s="45">
        <f>Sheet1!P52</f>
        <v>3.2346469604520989</v>
      </c>
      <c r="S24" s="41">
        <f>Sheet1!Q52</f>
        <v>1.2</v>
      </c>
      <c r="T24" s="58">
        <f>Sheet1!R52</f>
        <v>60.973745662619933</v>
      </c>
      <c r="U24" s="41">
        <f>Sheet1!S52</f>
        <v>3.5179939199942258</v>
      </c>
      <c r="V24" s="41">
        <f>Sheet1!T52</f>
        <v>1.25</v>
      </c>
      <c r="W24" s="47">
        <f>Sheet1!U52</f>
        <v>69.078013363006988</v>
      </c>
    </row>
    <row r="25" spans="2:23" x14ac:dyDescent="0.25">
      <c r="B25" s="30" t="s">
        <v>135</v>
      </c>
      <c r="C25" s="40" t="s">
        <v>49</v>
      </c>
      <c r="D25" s="40" t="s">
        <v>60</v>
      </c>
      <c r="E25" s="40" t="s">
        <v>111</v>
      </c>
      <c r="F25" s="41">
        <f>Sheet1!E23</f>
        <v>0.89</v>
      </c>
      <c r="G25" s="41">
        <f>Sheet1!F23</f>
        <v>0.71914600550964192</v>
      </c>
      <c r="H25" s="32">
        <f t="shared" si="2"/>
        <v>0.1708539944903581</v>
      </c>
      <c r="I25" s="41">
        <f>Sheet1!G23</f>
        <v>0.69848760330578519</v>
      </c>
      <c r="J25" s="41">
        <f>Sheet1!H23</f>
        <v>0.1708539944903581</v>
      </c>
      <c r="K25" s="42">
        <f>Sheet1!I23</f>
        <v>5</v>
      </c>
      <c r="L25" s="43">
        <f>Sheet1!J23</f>
        <v>7.2764880427313479</v>
      </c>
      <c r="M25" s="41">
        <f>Sheet1!K23</f>
        <v>1</v>
      </c>
      <c r="N25" s="44">
        <f>Sheet1!L23</f>
        <v>5.0825366934506233</v>
      </c>
      <c r="O25" s="43">
        <f>Sheet1!M23</f>
        <v>8.2882042507758182</v>
      </c>
      <c r="P25" s="41">
        <f>Sheet1!N23</f>
        <v>1.1000000000000001</v>
      </c>
      <c r="Q25" s="44">
        <f>Sheet1!O23</f>
        <v>6.3681287151165451</v>
      </c>
      <c r="R25" s="45">
        <f>Sheet1!P23</f>
        <v>9.0876517826637997</v>
      </c>
      <c r="S25" s="41">
        <f>Sheet1!Q23</f>
        <v>1.2</v>
      </c>
      <c r="T25" s="58">
        <f>Sheet1!R23</f>
        <v>7.617134536020461</v>
      </c>
      <c r="U25" s="41">
        <f>Sheet1!S23</f>
        <v>9.8994696225611225</v>
      </c>
      <c r="V25" s="41">
        <f>Sheet1!T23</f>
        <v>1.25</v>
      </c>
      <c r="W25" s="47">
        <f>Sheet1!U23</f>
        <v>8.64332101332643</v>
      </c>
    </row>
    <row r="26" spans="2:23" x14ac:dyDescent="0.25">
      <c r="B26" s="30" t="s">
        <v>135</v>
      </c>
      <c r="C26" s="40" t="str">
        <f>Sheet1!B50</f>
        <v>EB</v>
      </c>
      <c r="D26" s="40" t="s">
        <v>50</v>
      </c>
      <c r="E26" s="40" t="s">
        <v>96</v>
      </c>
      <c r="F26" s="41">
        <f>Sheet1!E50</f>
        <v>55.217700000000001</v>
      </c>
      <c r="G26" s="41">
        <f>Sheet1!F50</f>
        <v>6.26707217630854</v>
      </c>
      <c r="H26" s="32">
        <f t="shared" si="2"/>
        <v>48.950627823691462</v>
      </c>
      <c r="I26" s="41">
        <f>Sheet1!G50</f>
        <v>11.942013305785125</v>
      </c>
      <c r="J26" s="41">
        <f>Sheet1!H50</f>
        <v>48.950627823691462</v>
      </c>
      <c r="K26" s="42">
        <f>Sheet1!I50</f>
        <v>77</v>
      </c>
      <c r="L26" s="43">
        <f>Sheet1!J50</f>
        <v>2.4112358617159497</v>
      </c>
      <c r="M26" s="41">
        <f>Sheet1!K50</f>
        <v>1</v>
      </c>
      <c r="N26" s="44">
        <f>Sheet1!L50</f>
        <v>28.795010743998134</v>
      </c>
      <c r="O26" s="43">
        <f>Sheet1!M50</f>
        <v>2.6911521450149936</v>
      </c>
      <c r="P26" s="41">
        <f>Sheet1!N50</f>
        <v>1.1000000000000001</v>
      </c>
      <c r="Q26" s="44">
        <f>Sheet1!O50</f>
        <v>35.351552196027356</v>
      </c>
      <c r="R26" s="45">
        <f>Sheet1!P50</f>
        <v>2.9055840362135315</v>
      </c>
      <c r="S26" s="41">
        <f>Sheet1!Q50</f>
        <v>1.2</v>
      </c>
      <c r="T26" s="58">
        <f>Sheet1!R50</f>
        <v>41.638227865846609</v>
      </c>
      <c r="U26" s="41">
        <f>Sheet1!S50</f>
        <v>3.1604772533941734</v>
      </c>
      <c r="V26" s="41">
        <f>Sheet1!T50</f>
        <v>1.25</v>
      </c>
      <c r="W26" s="47">
        <f>Sheet1!U50</f>
        <v>47.178076765830554</v>
      </c>
    </row>
    <row r="27" spans="2:23" x14ac:dyDescent="0.25">
      <c r="B27" s="30" t="s">
        <v>135</v>
      </c>
      <c r="C27" s="40" t="s">
        <v>49</v>
      </c>
      <c r="D27" s="40" t="s">
        <v>60</v>
      </c>
      <c r="E27" s="40" t="s">
        <v>114</v>
      </c>
      <c r="F27" s="41">
        <f>Sheet1!E25</f>
        <v>2.87</v>
      </c>
      <c r="G27" s="41">
        <f>Sheet1!F25</f>
        <v>2.3126721763085398</v>
      </c>
      <c r="H27" s="32">
        <f t="shared" si="2"/>
        <v>0.55732782369146028</v>
      </c>
      <c r="I27" s="41">
        <f>Sheet1!G25</f>
        <v>2.2486033057851236</v>
      </c>
      <c r="J27" s="41">
        <f>Sheet1!H25</f>
        <v>0.55732782369146028</v>
      </c>
      <c r="K27" s="42">
        <f>Sheet1!I25</f>
        <v>17</v>
      </c>
      <c r="L27" s="43">
        <f>Sheet1!J25</f>
        <v>5.4501442212857452</v>
      </c>
      <c r="M27" s="41">
        <f>Sheet1!K25</f>
        <v>1</v>
      </c>
      <c r="N27" s="44">
        <f>Sheet1!L25</f>
        <v>12.255212312988814</v>
      </c>
      <c r="O27" s="43">
        <f>Sheet1!M25</f>
        <v>6.1515752492504721</v>
      </c>
      <c r="P27" s="41">
        <f>Sheet1!N25</f>
        <v>1.1000000000000001</v>
      </c>
      <c r="Q27" s="44">
        <f>Sheet1!O25</f>
        <v>15.215697685375613</v>
      </c>
      <c r="R27" s="45">
        <f>Sheet1!P25</f>
        <v>6.6978741656391261</v>
      </c>
      <c r="S27" s="41">
        <f>Sheet1!Q25</f>
        <v>1.2</v>
      </c>
      <c r="T27" s="58">
        <f>Sheet1!R25</f>
        <v>18.073034388706699</v>
      </c>
      <c r="U27" s="41">
        <f>Sheet1!S25</f>
        <v>7.2449494372024947</v>
      </c>
      <c r="V27" s="41">
        <f>Sheet1!T25</f>
        <v>1.25</v>
      </c>
      <c r="W27" s="47">
        <f>Sheet1!U25</f>
        <v>20.3637715684245</v>
      </c>
    </row>
    <row r="28" spans="2:23" x14ac:dyDescent="0.25">
      <c r="B28" s="30" t="s">
        <v>135</v>
      </c>
      <c r="C28" s="40" t="s">
        <v>49</v>
      </c>
      <c r="D28" s="40" t="s">
        <v>60</v>
      </c>
      <c r="E28" s="40" t="s">
        <v>117</v>
      </c>
      <c r="F28" s="41">
        <f>Sheet1!E38</f>
        <v>2.94</v>
      </c>
      <c r="G28" s="41">
        <f>Sheet1!F38</f>
        <v>0.5</v>
      </c>
      <c r="H28" s="32">
        <f t="shared" si="2"/>
        <v>2.44</v>
      </c>
      <c r="I28" s="41">
        <f>Sheet1!G38</f>
        <v>1.1819999999999999</v>
      </c>
      <c r="J28" s="41">
        <f>Sheet1!H38</f>
        <v>2.44</v>
      </c>
      <c r="K28" s="42">
        <f>Sheet1!I38</f>
        <v>5</v>
      </c>
      <c r="L28" s="43">
        <f>Sheet1!J38</f>
        <v>7.2764880427313479</v>
      </c>
      <c r="M28" s="41">
        <f>Sheet1!K38</f>
        <v>1</v>
      </c>
      <c r="N28" s="44">
        <f>Sheet1!L38</f>
        <v>8.6008088665084532</v>
      </c>
      <c r="O28" s="43">
        <f>Sheet1!M38</f>
        <v>8.2882042507758182</v>
      </c>
      <c r="P28" s="41">
        <f>Sheet1!N38</f>
        <v>1.1000000000000001</v>
      </c>
      <c r="Q28" s="44">
        <f>Sheet1!O38</f>
        <v>10.776323166858718</v>
      </c>
      <c r="R28" s="45">
        <f>Sheet1!P38</f>
        <v>9.0876517826637997</v>
      </c>
      <c r="S28" s="41">
        <f>Sheet1!Q38</f>
        <v>1.2</v>
      </c>
      <c r="T28" s="58">
        <f>Sheet1!R38</f>
        <v>12.889925288530334</v>
      </c>
      <c r="U28" s="41">
        <f>Sheet1!S38</f>
        <v>9.8994696225611225</v>
      </c>
      <c r="V28" s="41">
        <f>Sheet1!T38</f>
        <v>1.25</v>
      </c>
      <c r="W28" s="47">
        <f>Sheet1!U38</f>
        <v>14.626466367334057</v>
      </c>
    </row>
    <row r="29" spans="2:23" x14ac:dyDescent="0.25">
      <c r="B29" s="30" t="s">
        <v>135</v>
      </c>
      <c r="C29" s="40" t="s">
        <v>77</v>
      </c>
      <c r="D29" s="40" t="s">
        <v>60</v>
      </c>
      <c r="E29" s="40" t="s">
        <v>106</v>
      </c>
      <c r="F29" s="41">
        <f>Sheet1!E16</f>
        <v>0.98</v>
      </c>
      <c r="G29" s="41">
        <f>Sheet1!F16</f>
        <v>0.79201101928374651</v>
      </c>
      <c r="H29" s="32">
        <f t="shared" si="2"/>
        <v>0.18798898071625347</v>
      </c>
      <c r="I29" s="41">
        <f>Sheet1!G16</f>
        <v>0.76920661157024794</v>
      </c>
      <c r="J29" s="41">
        <f>Sheet1!H16</f>
        <v>0.18798898071625347</v>
      </c>
      <c r="K29" s="42">
        <f>Sheet1!I16</f>
        <v>5</v>
      </c>
      <c r="L29" s="43">
        <f>Sheet1!J16</f>
        <v>7.2764880427313479</v>
      </c>
      <c r="M29" s="41">
        <f>Sheet1!K16</f>
        <v>1</v>
      </c>
      <c r="N29" s="44">
        <f>Sheet1!L16</f>
        <v>5.5971227114808055</v>
      </c>
      <c r="O29" s="43">
        <f>Sheet1!M16</f>
        <v>8.2882042507758182</v>
      </c>
      <c r="P29" s="41">
        <f>Sheet1!N16</f>
        <v>1.1000000000000001</v>
      </c>
      <c r="Q29" s="44">
        <f>Sheet1!O16</f>
        <v>7.0128756585155321</v>
      </c>
      <c r="R29" s="45">
        <f>Sheet1!P16</f>
        <v>9.0876517826637997</v>
      </c>
      <c r="S29" s="41">
        <f>Sheet1!Q16</f>
        <v>1.2</v>
      </c>
      <c r="T29" s="58">
        <f>Sheet1!R16</f>
        <v>8.3883382018477732</v>
      </c>
      <c r="U29" s="41">
        <f>Sheet1!S16</f>
        <v>9.8994696225611225</v>
      </c>
      <c r="V29" s="41">
        <f>Sheet1!T16</f>
        <v>1.25</v>
      </c>
      <c r="W29" s="47">
        <f>Sheet1!U16</f>
        <v>9.5184218558910523</v>
      </c>
    </row>
    <row r="30" spans="2:23" x14ac:dyDescent="0.25">
      <c r="B30" s="30" t="s">
        <v>135</v>
      </c>
      <c r="C30" s="40" t="s">
        <v>77</v>
      </c>
      <c r="D30" s="40" t="s">
        <v>60</v>
      </c>
      <c r="E30" s="40" t="s">
        <v>107</v>
      </c>
      <c r="F30" s="41">
        <f>Sheet1!E18</f>
        <v>0.62</v>
      </c>
      <c r="G30" s="41">
        <f>Sheet1!F18</f>
        <v>0.99054178145087235</v>
      </c>
      <c r="H30" s="32">
        <f t="shared" si="2"/>
        <v>-0.37054178145087235</v>
      </c>
      <c r="I30" s="41">
        <f>Sheet1!G18</f>
        <v>0.78032506887052344</v>
      </c>
      <c r="J30" s="41">
        <f>Sheet1!H18</f>
        <v>-0.37054178145087235</v>
      </c>
      <c r="K30" s="42">
        <f>Sheet1!I18</f>
        <v>5</v>
      </c>
      <c r="L30" s="43">
        <f>Sheet1!J18</f>
        <v>7.2764880427313479</v>
      </c>
      <c r="M30" s="41">
        <f>Sheet1!K18</f>
        <v>1</v>
      </c>
      <c r="N30" s="44">
        <f>Sheet1!L18</f>
        <v>5.6780260330798793</v>
      </c>
      <c r="O30" s="43">
        <f>Sheet1!M18</f>
        <v>8.2882042507758182</v>
      </c>
      <c r="P30" s="41">
        <f>Sheet1!N18</f>
        <v>1.1000000000000001</v>
      </c>
      <c r="Q30" s="44">
        <f>Sheet1!O18</f>
        <v>7.1142429080795662</v>
      </c>
      <c r="R30" s="45">
        <f>Sheet1!P18</f>
        <v>9.0876517826637997</v>
      </c>
      <c r="S30" s="41">
        <f>Sheet1!Q18</f>
        <v>1.2</v>
      </c>
      <c r="T30" s="58">
        <f>Sheet1!R18</f>
        <v>8.5095870038141577</v>
      </c>
      <c r="U30" s="41">
        <f>Sheet1!S18</f>
        <v>9.8994696225611225</v>
      </c>
      <c r="V30" s="41">
        <f>Sheet1!T18</f>
        <v>1.25</v>
      </c>
      <c r="W30" s="47">
        <f>Sheet1!U18</f>
        <v>9.6560053937583277</v>
      </c>
    </row>
    <row r="31" spans="2:23" x14ac:dyDescent="0.25">
      <c r="B31" s="30" t="s">
        <v>135</v>
      </c>
      <c r="C31" s="40" t="s">
        <v>77</v>
      </c>
      <c r="D31" s="40" t="s">
        <v>60</v>
      </c>
      <c r="E31" s="40" t="s">
        <v>108</v>
      </c>
      <c r="F31" s="41">
        <f>Sheet1!E19</f>
        <v>1.74</v>
      </c>
      <c r="G31" s="41">
        <f>Sheet1!F19</f>
        <v>1.4044995408631773</v>
      </c>
      <c r="H31" s="32">
        <f t="shared" si="2"/>
        <v>0.33550045913682269</v>
      </c>
      <c r="I31" s="41">
        <f>Sheet1!G19</f>
        <v>1.3646997245179064</v>
      </c>
      <c r="J31" s="41">
        <f>Sheet1!H19</f>
        <v>0.33550045913682269</v>
      </c>
      <c r="K31" s="42">
        <f>Sheet1!I19</f>
        <v>5</v>
      </c>
      <c r="L31" s="43">
        <f>Sheet1!J19</f>
        <v>7.2764880427313479</v>
      </c>
      <c r="M31" s="41">
        <f>Sheet1!K19</f>
        <v>1</v>
      </c>
      <c r="N31" s="44">
        <f>Sheet1!L19</f>
        <v>9.9302212273733108</v>
      </c>
      <c r="O31" s="43">
        <f>Sheet1!M19</f>
        <v>8.2882042507758182</v>
      </c>
      <c r="P31" s="41">
        <f>Sheet1!N19</f>
        <v>1.1000000000000001</v>
      </c>
      <c r="Q31" s="44">
        <f>Sheet1!O19</f>
        <v>12.442001063560092</v>
      </c>
      <c r="R31" s="45">
        <f>Sheet1!P19</f>
        <v>9.0876517826637997</v>
      </c>
      <c r="S31" s="41">
        <f>Sheet1!Q19</f>
        <v>1.2</v>
      </c>
      <c r="T31" s="58">
        <f>Sheet1!R19</f>
        <v>14.88229906117914</v>
      </c>
      <c r="U31" s="41">
        <f>Sheet1!S19</f>
        <v>9.8994696225611225</v>
      </c>
      <c r="V31" s="41">
        <f>Sheet1!T19</f>
        <v>1.25</v>
      </c>
      <c r="W31" s="47">
        <f>Sheet1!U19</f>
        <v>16.887254333478182</v>
      </c>
    </row>
    <row r="32" spans="2:23" x14ac:dyDescent="0.25">
      <c r="B32" s="30" t="s">
        <v>135</v>
      </c>
      <c r="C32" s="40" t="s">
        <v>77</v>
      </c>
      <c r="D32" s="40" t="s">
        <v>69</v>
      </c>
      <c r="E32" s="40" t="s">
        <v>98</v>
      </c>
      <c r="F32" s="41">
        <f>Sheet1!E60</f>
        <v>2.44</v>
      </c>
      <c r="G32" s="41">
        <f>Sheet1!F60</f>
        <v>0.96494600550964194</v>
      </c>
      <c r="H32" s="32">
        <f t="shared" si="2"/>
        <v>1.475053994490358</v>
      </c>
      <c r="I32" s="41">
        <f>Sheet1!G60</f>
        <v>1.3109676033057851</v>
      </c>
      <c r="J32" s="41">
        <f>Sheet1!H60</f>
        <v>1.475053994490358</v>
      </c>
      <c r="K32" s="42">
        <f>Sheet1!I60</f>
        <v>5</v>
      </c>
      <c r="L32" s="43">
        <f>Sheet1!J60</f>
        <v>7.2764880427313479</v>
      </c>
      <c r="M32" s="41">
        <f>Sheet1!K60</f>
        <v>1</v>
      </c>
      <c r="N32" s="44">
        <f>Sheet1!L60</f>
        <v>9.5392400898627177</v>
      </c>
      <c r="O32" s="43">
        <f>Sheet1!M60</f>
        <v>8.2882042507758182</v>
      </c>
      <c r="P32" s="41">
        <f>Sheet1!N60</f>
        <v>1.1000000000000001</v>
      </c>
      <c r="Q32" s="44">
        <f>Sheet1!O60</f>
        <v>11.952123988583235</v>
      </c>
      <c r="R32" s="45">
        <f>Sheet1!P60</f>
        <v>9.0876517826637997</v>
      </c>
      <c r="S32" s="41">
        <f>Sheet1!Q60</f>
        <v>1.2</v>
      </c>
      <c r="T32" s="58">
        <f>Sheet1!R60</f>
        <v>14.296340492635569</v>
      </c>
      <c r="U32" s="41">
        <f>Sheet1!S60</f>
        <v>9.8994696225611225</v>
      </c>
      <c r="V32" s="41">
        <f>Sheet1!T60</f>
        <v>1.25</v>
      </c>
      <c r="W32" s="47">
        <f>Sheet1!U60</f>
        <v>16.222354956359226</v>
      </c>
    </row>
    <row r="33" spans="2:23" x14ac:dyDescent="0.25">
      <c r="B33" s="30" t="s">
        <v>135</v>
      </c>
      <c r="C33" s="40" t="s">
        <v>77</v>
      </c>
      <c r="D33" s="40" t="s">
        <v>60</v>
      </c>
      <c r="E33" s="40" t="s">
        <v>112</v>
      </c>
      <c r="F33" s="41">
        <f>F32</f>
        <v>2.44</v>
      </c>
      <c r="G33" s="41">
        <f>G32</f>
        <v>0.96494600550964194</v>
      </c>
      <c r="H33" s="32">
        <f t="shared" si="2"/>
        <v>1.475053994490358</v>
      </c>
      <c r="I33" s="41">
        <f t="shared" ref="I33:W33" si="3">I32</f>
        <v>1.3109676033057851</v>
      </c>
      <c r="J33" s="41">
        <f t="shared" si="3"/>
        <v>1.475053994490358</v>
      </c>
      <c r="K33" s="42">
        <f t="shared" si="3"/>
        <v>5</v>
      </c>
      <c r="L33" s="43">
        <f t="shared" si="3"/>
        <v>7.2764880427313479</v>
      </c>
      <c r="M33" s="41">
        <f t="shared" si="3"/>
        <v>1</v>
      </c>
      <c r="N33" s="44">
        <f t="shared" si="3"/>
        <v>9.5392400898627177</v>
      </c>
      <c r="O33" s="43">
        <f t="shared" si="3"/>
        <v>8.2882042507758182</v>
      </c>
      <c r="P33" s="41">
        <f t="shared" si="3"/>
        <v>1.1000000000000001</v>
      </c>
      <c r="Q33" s="44">
        <f t="shared" si="3"/>
        <v>11.952123988583235</v>
      </c>
      <c r="R33" s="45">
        <f t="shared" si="3"/>
        <v>9.0876517826637997</v>
      </c>
      <c r="S33" s="41">
        <f t="shared" si="3"/>
        <v>1.2</v>
      </c>
      <c r="T33" s="58">
        <f t="shared" si="3"/>
        <v>14.296340492635569</v>
      </c>
      <c r="U33" s="41">
        <f t="shared" si="3"/>
        <v>9.8994696225611225</v>
      </c>
      <c r="V33" s="41">
        <f t="shared" si="3"/>
        <v>1.25</v>
      </c>
      <c r="W33" s="47">
        <f t="shared" si="3"/>
        <v>16.222354956359226</v>
      </c>
    </row>
    <row r="34" spans="2:23" x14ac:dyDescent="0.25">
      <c r="B34" s="30" t="s">
        <v>135</v>
      </c>
      <c r="C34" s="40" t="s">
        <v>77</v>
      </c>
      <c r="D34" s="40" t="s">
        <v>60</v>
      </c>
      <c r="E34" s="40" t="s">
        <v>113</v>
      </c>
      <c r="F34" s="41">
        <f>Sheet1!E24</f>
        <v>0.35</v>
      </c>
      <c r="G34" s="41">
        <f>Sheet1!F24</f>
        <v>0.28301193755739212</v>
      </c>
      <c r="H34" s="32">
        <f t="shared" si="2"/>
        <v>6.6988062442607854E-2</v>
      </c>
      <c r="I34" s="41">
        <f>Sheet1!G24</f>
        <v>0.27480716253443527</v>
      </c>
      <c r="J34" s="41">
        <f>Sheet1!H24</f>
        <v>6.6988062442607854E-2</v>
      </c>
      <c r="K34" s="42">
        <f>Sheet1!I24</f>
        <v>5</v>
      </c>
      <c r="L34" s="43">
        <f>Sheet1!J24</f>
        <v>7.2764880427313479</v>
      </c>
      <c r="M34" s="41">
        <f>Sheet1!K24</f>
        <v>1</v>
      </c>
      <c r="N34" s="44">
        <f>Sheet1!L24</f>
        <v>1.9996310322387483</v>
      </c>
      <c r="O34" s="43">
        <f>Sheet1!M24</f>
        <v>8.2882042507758182</v>
      </c>
      <c r="P34" s="41">
        <f>Sheet1!N24</f>
        <v>1.1000000000000001</v>
      </c>
      <c r="Q34" s="44">
        <f>Sheet1!O24</f>
        <v>2.5054236819277023</v>
      </c>
      <c r="R34" s="45">
        <f>Sheet1!P24</f>
        <v>9.0876517826637997</v>
      </c>
      <c r="S34" s="41">
        <f>Sheet1!Q24</f>
        <v>1.2</v>
      </c>
      <c r="T34" s="58">
        <f>Sheet1!R24</f>
        <v>2.9968221605938097</v>
      </c>
      <c r="U34" s="41">
        <f>Sheet1!S24</f>
        <v>9.8994696225611225</v>
      </c>
      <c r="V34" s="41">
        <f>Sheet1!T24</f>
        <v>1.25</v>
      </c>
      <c r="W34" s="47">
        <f>Sheet1!U24</f>
        <v>3.4005564469648237</v>
      </c>
    </row>
    <row r="35" spans="2:23" x14ac:dyDescent="0.25">
      <c r="B35" s="30" t="s">
        <v>135</v>
      </c>
      <c r="C35" s="40" t="s">
        <v>77</v>
      </c>
      <c r="D35" s="40" t="s">
        <v>60</v>
      </c>
      <c r="E35" s="40" t="s">
        <v>115</v>
      </c>
      <c r="F35" s="41">
        <f>Sheet1!E26</f>
        <v>4.3</v>
      </c>
      <c r="G35" s="41">
        <f>Sheet1!F26</f>
        <v>3.4721763085399449</v>
      </c>
      <c r="H35" s="32">
        <f t="shared" si="2"/>
        <v>0.82782369146005497</v>
      </c>
      <c r="I35" s="41">
        <f>Sheet1!G26</f>
        <v>3.3733057851239669</v>
      </c>
      <c r="J35" s="41">
        <f>Sheet1!H26</f>
        <v>0.82782369146005497</v>
      </c>
      <c r="K35" s="42">
        <f>Sheet1!I26</f>
        <v>15</v>
      </c>
      <c r="L35" s="43">
        <f>Sheet1!J26</f>
        <v>5.6882937328982619</v>
      </c>
      <c r="M35" s="41">
        <f>Sheet1!K26</f>
        <v>1</v>
      </c>
      <c r="N35" s="44">
        <f>Sheet1!L26</f>
        <v>19.188354156670112</v>
      </c>
      <c r="O35" s="43">
        <f>Sheet1!M26</f>
        <v>6.4276085318591392</v>
      </c>
      <c r="P35" s="41">
        <f>Sheet1!N26</f>
        <v>1.1000000000000001</v>
      </c>
      <c r="Q35" s="44">
        <f>Sheet1!O26</f>
        <v>23.850517949535867</v>
      </c>
      <c r="R35" s="45">
        <f>Sheet1!P26</f>
        <v>7.0044180518439605</v>
      </c>
      <c r="S35" s="41">
        <f>Sheet1!Q26</f>
        <v>1.2</v>
      </c>
      <c r="T35" s="58">
        <f>Sheet1!R26</f>
        <v>28.35365272285437</v>
      </c>
      <c r="U35" s="41">
        <f>Sheet1!S26</f>
        <v>7.5830218559299372</v>
      </c>
      <c r="V35" s="41">
        <f>Sheet1!T26</f>
        <v>1.25</v>
      </c>
      <c r="W35" s="47">
        <f>Sheet1!U26</f>
        <v>31.97481436916242</v>
      </c>
    </row>
    <row r="36" spans="2:23" ht="16.5" thickBot="1" x14ac:dyDescent="0.3">
      <c r="B36" s="30" t="s">
        <v>135</v>
      </c>
      <c r="C36" s="25" t="s">
        <v>77</v>
      </c>
      <c r="D36" s="25" t="s">
        <v>60</v>
      </c>
      <c r="E36" s="25" t="s">
        <v>116</v>
      </c>
      <c r="F36" s="48">
        <f>Sheet1!E43</f>
        <v>4.09</v>
      </c>
      <c r="G36" s="48">
        <f>Sheet1!F43</f>
        <v>1.425068870523416</v>
      </c>
      <c r="H36" s="78">
        <f t="shared" si="2"/>
        <v>2.6649311294765838</v>
      </c>
      <c r="I36" s="48">
        <f>Sheet1!G43</f>
        <v>2.0820413223140495</v>
      </c>
      <c r="J36" s="48">
        <f>Sheet1!H43</f>
        <v>2.6649311294765838</v>
      </c>
      <c r="K36" s="49">
        <f>Sheet1!I43</f>
        <v>5</v>
      </c>
      <c r="L36" s="50">
        <f>Sheet1!J43</f>
        <v>7.2764880427313479</v>
      </c>
      <c r="M36" s="48">
        <f>Sheet1!K43</f>
        <v>1</v>
      </c>
      <c r="N36" s="51">
        <f>Sheet1!L43</f>
        <v>15.149948786290745</v>
      </c>
      <c r="O36" s="50">
        <f>Sheet1!M43</f>
        <v>8.2882042507758182</v>
      </c>
      <c r="P36" s="48">
        <f>Sheet1!N43</f>
        <v>1.1000000000000001</v>
      </c>
      <c r="Q36" s="51">
        <f>Sheet1!O43</f>
        <v>18.982022111683634</v>
      </c>
      <c r="R36" s="52">
        <f>Sheet1!P43</f>
        <v>9.0876517826637997</v>
      </c>
      <c r="S36" s="48">
        <f>Sheet1!Q43</f>
        <v>1.2</v>
      </c>
      <c r="T36" s="59">
        <f>Sheet1!R43</f>
        <v>22.705039841168361</v>
      </c>
      <c r="U36" s="48">
        <f>Sheet1!S43</f>
        <v>9.8994696225611225</v>
      </c>
      <c r="V36" s="48">
        <f>Sheet1!T43</f>
        <v>1.25</v>
      </c>
      <c r="W36" s="54">
        <f>Sheet1!U43</f>
        <v>25.763881028956153</v>
      </c>
    </row>
    <row r="38" spans="2:23" ht="16.5" thickBot="1" x14ac:dyDescent="0.3"/>
    <row r="39" spans="2:23" x14ac:dyDescent="0.25">
      <c r="B39" s="21"/>
      <c r="C39" s="22"/>
      <c r="D39" s="22"/>
      <c r="E39" s="22"/>
      <c r="F39" s="22"/>
      <c r="G39" s="22" t="s">
        <v>132</v>
      </c>
      <c r="H39" s="22" t="s">
        <v>133</v>
      </c>
      <c r="I39" s="22"/>
      <c r="J39" s="22"/>
      <c r="K39" s="22"/>
      <c r="L39" s="88" t="s">
        <v>15</v>
      </c>
      <c r="M39" s="88"/>
      <c r="N39" s="88"/>
      <c r="O39" s="88" t="s">
        <v>16</v>
      </c>
      <c r="P39" s="88"/>
      <c r="Q39" s="88"/>
      <c r="R39" s="88" t="s">
        <v>1</v>
      </c>
      <c r="S39" s="88"/>
      <c r="T39" s="88"/>
      <c r="U39" s="88" t="s">
        <v>6</v>
      </c>
      <c r="V39" s="88"/>
      <c r="W39" s="89"/>
    </row>
    <row r="40" spans="2:23" ht="32.25" thickBot="1" x14ac:dyDescent="0.3">
      <c r="B40" s="67" t="s">
        <v>129</v>
      </c>
      <c r="C40" s="68" t="s">
        <v>130</v>
      </c>
      <c r="D40" s="68" t="s">
        <v>131</v>
      </c>
      <c r="E40" s="68" t="s">
        <v>97</v>
      </c>
      <c r="F40" s="69" t="s">
        <v>13</v>
      </c>
      <c r="G40" s="69" t="s">
        <v>119</v>
      </c>
      <c r="H40" s="69" t="str">
        <f t="shared" ref="H40:H52" si="4">J40</f>
        <v>unimproved area (Acre)</v>
      </c>
      <c r="I40" s="68" t="s">
        <v>7</v>
      </c>
      <c r="J40" s="69" t="s">
        <v>118</v>
      </c>
      <c r="K40" s="68" t="s">
        <v>102</v>
      </c>
      <c r="L40" s="68" t="s">
        <v>3</v>
      </c>
      <c r="M40" s="68" t="s">
        <v>4</v>
      </c>
      <c r="N40" s="68" t="s">
        <v>5</v>
      </c>
      <c r="O40" s="68" t="s">
        <v>3</v>
      </c>
      <c r="P40" s="68" t="s">
        <v>4</v>
      </c>
      <c r="Q40" s="68" t="s">
        <v>5</v>
      </c>
      <c r="R40" s="68" t="s">
        <v>3</v>
      </c>
      <c r="S40" s="68" t="s">
        <v>4</v>
      </c>
      <c r="T40" s="68" t="s">
        <v>5</v>
      </c>
      <c r="U40" s="68" t="s">
        <v>3</v>
      </c>
      <c r="V40" s="68" t="s">
        <v>4</v>
      </c>
      <c r="W40" s="71" t="s">
        <v>5</v>
      </c>
    </row>
    <row r="41" spans="2:23" x14ac:dyDescent="0.25">
      <c r="B41" s="79" t="s">
        <v>126</v>
      </c>
      <c r="C41" s="22" t="s">
        <v>68</v>
      </c>
      <c r="D41" s="22" t="s">
        <v>69</v>
      </c>
      <c r="E41" s="22" t="s">
        <v>52</v>
      </c>
      <c r="F41" s="74">
        <f>Sheet1!E47</f>
        <v>100.02770000000001</v>
      </c>
      <c r="G41" s="74">
        <f>Sheet1!F47</f>
        <v>15.286382736455467</v>
      </c>
      <c r="H41" s="74">
        <f t="shared" si="4"/>
        <v>84.741317263544545</v>
      </c>
      <c r="I41" s="74">
        <f>Sheet1!G47</f>
        <v>26.136599641873275</v>
      </c>
      <c r="J41" s="74">
        <f>Sheet1!H47</f>
        <v>84.741317263544545</v>
      </c>
      <c r="K41" s="74">
        <f>Sheet1!I47</f>
        <v>76.61999999999999</v>
      </c>
      <c r="L41" s="74">
        <f>Sheet1!J47</f>
        <v>2.4198023658282146</v>
      </c>
      <c r="M41" s="74">
        <f>Sheet1!K47</f>
        <v>1</v>
      </c>
      <c r="N41" s="74">
        <f>Sheet1!L47</f>
        <v>63.245405648109816</v>
      </c>
      <c r="O41" s="74">
        <f>Sheet1!M47</f>
        <v>2.7007605814991353</v>
      </c>
      <c r="P41" s="74">
        <f>Sheet1!N47</f>
        <v>1.1000000000000001</v>
      </c>
      <c r="Q41" s="80">
        <f>Sheet1!O47</f>
        <v>77.64756785191534</v>
      </c>
      <c r="R41" s="74">
        <f>Sheet1!P47</f>
        <v>2.9159959866119505</v>
      </c>
      <c r="S41" s="74">
        <f>Sheet1!Q47</f>
        <v>1.2</v>
      </c>
      <c r="T41" s="74">
        <f>Sheet1!R47</f>
        <v>91.457063591262965</v>
      </c>
      <c r="U41" s="74">
        <f>Sheet1!S47</f>
        <v>3.1280094279425281</v>
      </c>
      <c r="V41" s="74">
        <f>Sheet1!T47</f>
        <v>1.25</v>
      </c>
      <c r="W41" s="81">
        <f>Sheet1!U47</f>
        <v>102.19441261767363</v>
      </c>
    </row>
    <row r="42" spans="2:23" x14ac:dyDescent="0.25">
      <c r="B42" s="62" t="s">
        <v>126</v>
      </c>
      <c r="C42" s="40" t="s">
        <v>51</v>
      </c>
      <c r="D42" s="40" t="s">
        <v>69</v>
      </c>
      <c r="E42" s="40" t="s">
        <v>120</v>
      </c>
      <c r="F42" s="41">
        <f>Sheet1!E56</f>
        <v>95.488299999999995</v>
      </c>
      <c r="G42" s="41">
        <f>Sheet1!F56</f>
        <v>11.382245179063361</v>
      </c>
      <c r="H42" s="41">
        <f t="shared" si="4"/>
        <v>84.106054820936635</v>
      </c>
      <c r="I42" s="41">
        <f>Sheet1!G56</f>
        <v>22.140837107438021</v>
      </c>
      <c r="J42" s="41">
        <f>Sheet1!H56</f>
        <v>84.106054820936635</v>
      </c>
      <c r="K42" s="41">
        <f>Sheet1!I56</f>
        <v>82.98</v>
      </c>
      <c r="L42" s="41">
        <f>Sheet1!J56</f>
        <v>2.2839673698071761</v>
      </c>
      <c r="M42" s="41">
        <f>Sheet1!K56</f>
        <v>1</v>
      </c>
      <c r="N42" s="41">
        <f>Sheet1!L56</f>
        <v>50.568949493604343</v>
      </c>
      <c r="O42" s="41">
        <f>Sheet1!M56</f>
        <v>2.5484874286896297</v>
      </c>
      <c r="P42" s="41">
        <f>Sheet1!N56</f>
        <v>1.1000000000000001</v>
      </c>
      <c r="Q42" s="63">
        <f>Sheet1!O56</f>
        <v>62.06820953186773</v>
      </c>
      <c r="R42" s="41">
        <f>Sheet1!P56</f>
        <v>2.7510549820237573</v>
      </c>
      <c r="S42" s="41">
        <f>Sheet1!Q56</f>
        <v>1.2</v>
      </c>
      <c r="T42" s="41">
        <f>Sheet1!R56</f>
        <v>73.092792276712615</v>
      </c>
      <c r="U42" s="41">
        <f>Sheet1!S56</f>
        <v>2.992652446427857</v>
      </c>
      <c r="V42" s="41">
        <f>Sheet1!T56</f>
        <v>1.25</v>
      </c>
      <c r="W42" s="44">
        <f>Sheet1!U56</f>
        <v>82.824787919418839</v>
      </c>
    </row>
    <row r="43" spans="2:23" x14ac:dyDescent="0.25">
      <c r="B43" s="62" t="s">
        <v>126</v>
      </c>
      <c r="C43" s="40" t="s">
        <v>51</v>
      </c>
      <c r="D43" s="40" t="s">
        <v>50</v>
      </c>
      <c r="E43" s="40" t="s">
        <v>123</v>
      </c>
      <c r="F43" s="41">
        <f>Sheet1!E69</f>
        <v>27.3</v>
      </c>
      <c r="G43" s="41">
        <f>Sheet1!F69</f>
        <v>0.78181818181818186</v>
      </c>
      <c r="H43" s="41">
        <f t="shared" si="4"/>
        <v>26.518181818181819</v>
      </c>
      <c r="I43" s="41">
        <f>Sheet1!G69</f>
        <v>8.6590909090909083</v>
      </c>
      <c r="J43" s="41">
        <f>Sheet1!H69</f>
        <v>26.518181818181819</v>
      </c>
      <c r="K43" s="41">
        <f>Sheet1!I69</f>
        <v>144</v>
      </c>
      <c r="L43" s="41">
        <f>Sheet1!J69</f>
        <v>1.4835112600445803</v>
      </c>
      <c r="M43" s="41">
        <f>Sheet1!K69</f>
        <v>1</v>
      </c>
      <c r="N43" s="41">
        <f>Sheet1!L69</f>
        <v>12.845858865386024</v>
      </c>
      <c r="O43" s="41">
        <f>Sheet1!M69</f>
        <v>1.6544442831566311</v>
      </c>
      <c r="P43" s="41">
        <f>Sheet1!N69</f>
        <v>1.1000000000000001</v>
      </c>
      <c r="Q43" s="63">
        <f>Sheet1!O69</f>
        <v>15.758581797066912</v>
      </c>
      <c r="R43" s="41">
        <f>Sheet1!P69</f>
        <v>1.7852239610901648</v>
      </c>
      <c r="S43" s="41">
        <f>Sheet1!Q69</f>
        <v>1.2</v>
      </c>
      <c r="T43" s="41">
        <f>Sheet1!R69</f>
        <v>18.550099886600528</v>
      </c>
      <c r="U43" s="41">
        <f>Sheet1!S69</f>
        <v>1.9138047138476109</v>
      </c>
      <c r="V43" s="41">
        <f>Sheet1!T69</f>
        <v>1.25</v>
      </c>
      <c r="W43" s="44">
        <f>Sheet1!U69</f>
        <v>20.714761249316467</v>
      </c>
    </row>
    <row r="44" spans="2:23" x14ac:dyDescent="0.25">
      <c r="B44" s="62" t="s">
        <v>126</v>
      </c>
      <c r="C44" s="40" t="s">
        <v>86</v>
      </c>
      <c r="D44" s="40" t="s">
        <v>50</v>
      </c>
      <c r="E44" s="40" t="s">
        <v>73</v>
      </c>
      <c r="F44" s="41">
        <f>F7</f>
        <v>88.078299999999999</v>
      </c>
      <c r="G44" s="41">
        <f>G7</f>
        <v>9.3548451790633607</v>
      </c>
      <c r="H44" s="41">
        <f t="shared" si="4"/>
        <v>78.723454820936638</v>
      </c>
      <c r="I44" s="41">
        <f t="shared" ref="I44:W44" si="5">I7</f>
        <v>18.701397107438019</v>
      </c>
      <c r="J44" s="41">
        <f t="shared" si="5"/>
        <v>78.723454820936638</v>
      </c>
      <c r="K44" s="41">
        <f t="shared" si="5"/>
        <v>82.98</v>
      </c>
      <c r="L44" s="41">
        <f t="shared" si="5"/>
        <v>2.2839673698071761</v>
      </c>
      <c r="M44" s="41">
        <f t="shared" si="5"/>
        <v>1</v>
      </c>
      <c r="N44" s="41">
        <f t="shared" si="5"/>
        <v>42.713380763194742</v>
      </c>
      <c r="O44" s="41">
        <f t="shared" si="5"/>
        <v>2.5484874286896297</v>
      </c>
      <c r="P44" s="41">
        <f t="shared" si="5"/>
        <v>1.1000000000000001</v>
      </c>
      <c r="Q44" s="63">
        <f t="shared" si="5"/>
        <v>52.426302969962244</v>
      </c>
      <c r="R44" s="41">
        <f t="shared" si="5"/>
        <v>2.7510549820237573</v>
      </c>
      <c r="S44" s="41">
        <f t="shared" si="5"/>
        <v>1.2</v>
      </c>
      <c r="T44" s="41">
        <f t="shared" si="5"/>
        <v>61.738286019866457</v>
      </c>
      <c r="U44" s="41">
        <f t="shared" si="5"/>
        <v>2.992652446427857</v>
      </c>
      <c r="V44" s="41">
        <f t="shared" si="5"/>
        <v>1.25</v>
      </c>
      <c r="W44" s="44">
        <f t="shared" si="5"/>
        <v>69.958477256491548</v>
      </c>
    </row>
    <row r="45" spans="2:23" x14ac:dyDescent="0.25">
      <c r="B45" s="62" t="s">
        <v>126</v>
      </c>
      <c r="C45" s="40" t="s">
        <v>76</v>
      </c>
      <c r="D45" s="40" t="s">
        <v>69</v>
      </c>
      <c r="E45" s="40" t="s">
        <v>94</v>
      </c>
      <c r="F45" s="40">
        <f>F7</f>
        <v>88.078299999999999</v>
      </c>
      <c r="G45" s="41">
        <f>G7</f>
        <v>9.3548451790633607</v>
      </c>
      <c r="H45" s="41">
        <f t="shared" si="4"/>
        <v>78.723454820936638</v>
      </c>
      <c r="I45" s="41">
        <f t="shared" ref="I45:W45" si="6">I7</f>
        <v>18.701397107438019</v>
      </c>
      <c r="J45" s="41">
        <f t="shared" si="6"/>
        <v>78.723454820936638</v>
      </c>
      <c r="K45" s="41">
        <f t="shared" si="6"/>
        <v>82.98</v>
      </c>
      <c r="L45" s="41">
        <f t="shared" si="6"/>
        <v>2.2839673698071761</v>
      </c>
      <c r="M45" s="41">
        <f t="shared" si="6"/>
        <v>1</v>
      </c>
      <c r="N45" s="41">
        <f t="shared" si="6"/>
        <v>42.713380763194742</v>
      </c>
      <c r="O45" s="41">
        <f t="shared" si="6"/>
        <v>2.5484874286896297</v>
      </c>
      <c r="P45" s="41">
        <f t="shared" si="6"/>
        <v>1.1000000000000001</v>
      </c>
      <c r="Q45" s="63">
        <f t="shared" si="6"/>
        <v>52.426302969962244</v>
      </c>
      <c r="R45" s="41">
        <f t="shared" si="6"/>
        <v>2.7510549820237573</v>
      </c>
      <c r="S45" s="41">
        <f t="shared" si="6"/>
        <v>1.2</v>
      </c>
      <c r="T45" s="41">
        <f t="shared" si="6"/>
        <v>61.738286019866457</v>
      </c>
      <c r="U45" s="41">
        <f t="shared" si="6"/>
        <v>2.992652446427857</v>
      </c>
      <c r="V45" s="41">
        <f t="shared" si="6"/>
        <v>1.25</v>
      </c>
      <c r="W45" s="44">
        <f t="shared" si="6"/>
        <v>69.958477256491548</v>
      </c>
    </row>
    <row r="46" spans="2:23" x14ac:dyDescent="0.25">
      <c r="B46" s="62" t="s">
        <v>126</v>
      </c>
      <c r="C46" s="40" t="s">
        <v>121</v>
      </c>
      <c r="D46" s="40" t="s">
        <v>50</v>
      </c>
      <c r="E46" s="40" t="s">
        <v>122</v>
      </c>
      <c r="F46" s="41">
        <f>Sheet1!E68</f>
        <v>1.24</v>
      </c>
      <c r="G46" s="41">
        <f>Sheet1!F68</f>
        <v>0.43553719008264463</v>
      </c>
      <c r="H46" s="41">
        <f t="shared" si="4"/>
        <v>0.80446280991735541</v>
      </c>
      <c r="I46" s="41">
        <f>Sheet1!G68</f>
        <v>0.63332231404958683</v>
      </c>
      <c r="J46" s="41">
        <f>Sheet1!H68</f>
        <v>0.80446280991735541</v>
      </c>
      <c r="K46" s="41">
        <f>Sheet1!I68</f>
        <v>5</v>
      </c>
      <c r="L46" s="41">
        <f>Sheet1!J68</f>
        <v>7.2764880427313479</v>
      </c>
      <c r="M46" s="41">
        <f>Sheet1!K68</f>
        <v>1</v>
      </c>
      <c r="N46" s="41">
        <f>Sheet1!L68</f>
        <v>4.6083622453767665</v>
      </c>
      <c r="O46" s="41">
        <f>Sheet1!M68</f>
        <v>8.2882042507758182</v>
      </c>
      <c r="P46" s="41">
        <f>Sheet1!N68</f>
        <v>1.1000000000000001</v>
      </c>
      <c r="Q46" s="63">
        <f>Sheet1!O68</f>
        <v>5.7740151649586595</v>
      </c>
      <c r="R46" s="41">
        <f>Sheet1!P68</f>
        <v>9.0876517826637997</v>
      </c>
      <c r="S46" s="41">
        <f>Sheet1!Q68</f>
        <v>1.2</v>
      </c>
      <c r="T46" s="41">
        <f>Sheet1!R68</f>
        <v>6.906495187528189</v>
      </c>
      <c r="U46" s="41">
        <f>Sheet1!S68</f>
        <v>9.8994696225611225</v>
      </c>
      <c r="V46" s="41">
        <f>Sheet1!T68</f>
        <v>1.25</v>
      </c>
      <c r="W46" s="44">
        <f>Sheet1!U68</f>
        <v>7.8369437615299997</v>
      </c>
    </row>
    <row r="47" spans="2:23" x14ac:dyDescent="0.25">
      <c r="B47" s="62" t="s">
        <v>126</v>
      </c>
      <c r="C47" s="40" t="s">
        <v>56</v>
      </c>
      <c r="D47" s="40" t="s">
        <v>50</v>
      </c>
      <c r="E47" s="40" t="s">
        <v>90</v>
      </c>
      <c r="F47" s="41">
        <f>F10</f>
        <v>95.488299999999995</v>
      </c>
      <c r="G47" s="41">
        <f>G10</f>
        <v>11.382245179063361</v>
      </c>
      <c r="H47" s="41">
        <f t="shared" si="4"/>
        <v>84.106054820936635</v>
      </c>
      <c r="I47" s="41">
        <f t="shared" ref="I47:W47" si="7">I10</f>
        <v>22.140837107438021</v>
      </c>
      <c r="J47" s="41">
        <f t="shared" si="7"/>
        <v>84.106054820936635</v>
      </c>
      <c r="K47" s="41">
        <f t="shared" si="7"/>
        <v>82.98</v>
      </c>
      <c r="L47" s="41">
        <f t="shared" si="7"/>
        <v>2.2839673698071761</v>
      </c>
      <c r="M47" s="41">
        <f t="shared" si="7"/>
        <v>1</v>
      </c>
      <c r="N47" s="41">
        <f t="shared" si="7"/>
        <v>50.568949493604343</v>
      </c>
      <c r="O47" s="41">
        <f t="shared" si="7"/>
        <v>2.5484874286896297</v>
      </c>
      <c r="P47" s="41">
        <f t="shared" si="7"/>
        <v>1.1000000000000001</v>
      </c>
      <c r="Q47" s="63">
        <f t="shared" si="7"/>
        <v>62.06820953186773</v>
      </c>
      <c r="R47" s="41">
        <f t="shared" si="7"/>
        <v>2.7510549820237573</v>
      </c>
      <c r="S47" s="41">
        <f t="shared" si="7"/>
        <v>1.2</v>
      </c>
      <c r="T47" s="41">
        <f t="shared" si="7"/>
        <v>73.092792276712615</v>
      </c>
      <c r="U47" s="41">
        <f t="shared" si="7"/>
        <v>2.992652446427857</v>
      </c>
      <c r="V47" s="41">
        <f t="shared" si="7"/>
        <v>1.25</v>
      </c>
      <c r="W47" s="44">
        <f t="shared" si="7"/>
        <v>82.824787919418839</v>
      </c>
    </row>
    <row r="48" spans="2:23" x14ac:dyDescent="0.25">
      <c r="B48" s="62" t="s">
        <v>126</v>
      </c>
      <c r="C48" s="40" t="s">
        <v>49</v>
      </c>
      <c r="D48" s="40" t="s">
        <v>50</v>
      </c>
      <c r="E48" s="40" t="s">
        <v>53</v>
      </c>
      <c r="F48" s="41">
        <f>Sheet1!E46</f>
        <v>501.16770000000002</v>
      </c>
      <c r="G48" s="41">
        <f>Sheet1!F46</f>
        <v>20.450469054178146</v>
      </c>
      <c r="H48" s="41">
        <f t="shared" si="4"/>
        <v>480.71723094582188</v>
      </c>
      <c r="I48" s="41">
        <f>Sheet1!G46</f>
        <v>70.513051432506884</v>
      </c>
      <c r="J48" s="41">
        <f>Sheet1!H46</f>
        <v>480.71723094582188</v>
      </c>
      <c r="K48" s="41">
        <f>Sheet1!I46</f>
        <v>261.42</v>
      </c>
      <c r="L48" s="41">
        <f>Sheet1!J46</f>
        <v>0.88477893255967754</v>
      </c>
      <c r="M48" s="41">
        <f>Sheet1!K46</f>
        <v>1</v>
      </c>
      <c r="N48" s="41">
        <f>Sheet1!L46</f>
        <v>62.388462377979081</v>
      </c>
      <c r="O48" s="41">
        <f>Sheet1!M46</f>
        <v>0.98844318780596352</v>
      </c>
      <c r="P48" s="41">
        <f>Sheet1!N46</f>
        <v>1.1000000000000001</v>
      </c>
      <c r="Q48" s="63">
        <f>Sheet1!O46</f>
        <v>76.667959873860269</v>
      </c>
      <c r="R48" s="41">
        <f>Sheet1!P46</f>
        <v>1.0678936024820138</v>
      </c>
      <c r="S48" s="41">
        <f>Sheet1!Q46</f>
        <v>1.2</v>
      </c>
      <c r="T48" s="41">
        <f>Sheet1!R46</f>
        <v>90.360523819511158</v>
      </c>
      <c r="U48" s="41">
        <f>Sheet1!S46</f>
        <v>1.1658076295754882</v>
      </c>
      <c r="V48" s="41">
        <f>Sheet1!T46</f>
        <v>1.25</v>
      </c>
      <c r="W48" s="44">
        <f>Sheet1!U46</f>
        <v>102.75581668083166</v>
      </c>
    </row>
    <row r="49" spans="2:23" x14ac:dyDescent="0.25">
      <c r="B49" s="62" t="s">
        <v>126</v>
      </c>
      <c r="C49" s="40" t="s">
        <v>101</v>
      </c>
      <c r="D49" s="40" t="s">
        <v>50</v>
      </c>
      <c r="E49" s="40" t="s">
        <v>127</v>
      </c>
      <c r="F49" s="41">
        <f>SUMMARY!F19</f>
        <v>0.84</v>
      </c>
      <c r="G49" s="41">
        <f>SUMMARY!G19</f>
        <v>0.68007346189164375</v>
      </c>
      <c r="H49" s="41">
        <f t="shared" si="4"/>
        <v>0.15992653810835622</v>
      </c>
      <c r="I49" s="41">
        <f>SUMMARY!I19</f>
        <v>0.66004407713498625</v>
      </c>
      <c r="J49" s="41">
        <f>SUMMARY!J19</f>
        <v>0.15992653810835622</v>
      </c>
      <c r="K49" s="41">
        <f>SUMMARY!K19</f>
        <v>5</v>
      </c>
      <c r="L49" s="41">
        <f>SUMMARY!L19</f>
        <v>7.2764880427313479</v>
      </c>
      <c r="M49" s="41">
        <f>SUMMARY!M19</f>
        <v>1</v>
      </c>
      <c r="N49" s="41">
        <f>SUMMARY!N19</f>
        <v>4.8028028349483751</v>
      </c>
      <c r="O49" s="41">
        <f>SUMMARY!O19</f>
        <v>8.2882042507758182</v>
      </c>
      <c r="P49" s="41">
        <f>SUMMARY!P19</f>
        <v>1.1000000000000001</v>
      </c>
      <c r="Q49" s="63">
        <f>SUMMARY!Q19</f>
        <v>6.0176381383905548</v>
      </c>
      <c r="R49" s="41">
        <f>SUMMARY!R19</f>
        <v>9.0876517826637997</v>
      </c>
      <c r="S49" s="41">
        <f>SUMMARY!S19</f>
        <v>1.2</v>
      </c>
      <c r="T49" s="41">
        <f>SUMMARY!T19</f>
        <v>7.1979008810549283</v>
      </c>
      <c r="U49" s="41">
        <f>SUMMARY!U19</f>
        <v>9.8994696225611225</v>
      </c>
      <c r="V49" s="41">
        <f>SUMMARY!V19</f>
        <v>1.25</v>
      </c>
      <c r="W49" s="44">
        <f>SUMMARY!W19</f>
        <v>8.1676078639364835</v>
      </c>
    </row>
    <row r="50" spans="2:23" x14ac:dyDescent="0.25">
      <c r="B50" s="62" t="s">
        <v>126</v>
      </c>
      <c r="C50" s="40" t="s">
        <v>49</v>
      </c>
      <c r="D50" s="40" t="s">
        <v>60</v>
      </c>
      <c r="E50" s="40" t="s">
        <v>128</v>
      </c>
      <c r="F50" s="41">
        <f>F24</f>
        <v>80.227699999999999</v>
      </c>
      <c r="G50" s="41">
        <f>G24</f>
        <v>7.8062181818181822</v>
      </c>
      <c r="H50" s="41">
        <f t="shared" si="4"/>
        <v>72.421481818181817</v>
      </c>
      <c r="I50" s="41">
        <f t="shared" ref="I50:W50" si="8">I24</f>
        <v>15.70850090909091</v>
      </c>
      <c r="J50" s="41">
        <f t="shared" si="8"/>
        <v>72.421481818181817</v>
      </c>
      <c r="K50" s="41">
        <f t="shared" si="8"/>
        <v>66.179999999999993</v>
      </c>
      <c r="L50" s="41">
        <f t="shared" si="8"/>
        <v>2.6814319161120563</v>
      </c>
      <c r="M50" s="41">
        <f t="shared" si="8"/>
        <v>1</v>
      </c>
      <c r="N50" s="41">
        <f t="shared" si="8"/>
        <v>42.12127569191162</v>
      </c>
      <c r="O50" s="41">
        <f t="shared" si="8"/>
        <v>2.9945625984021031</v>
      </c>
      <c r="P50" s="41">
        <f t="shared" si="8"/>
        <v>1.1000000000000001</v>
      </c>
      <c r="Q50" s="63">
        <f t="shared" si="8"/>
        <v>51.744098229261986</v>
      </c>
      <c r="R50" s="41">
        <f t="shared" si="8"/>
        <v>3.2346469604520989</v>
      </c>
      <c r="S50" s="41">
        <f t="shared" si="8"/>
        <v>1.2</v>
      </c>
      <c r="T50" s="41">
        <f t="shared" si="8"/>
        <v>60.973745662619933</v>
      </c>
      <c r="U50" s="41">
        <f t="shared" si="8"/>
        <v>3.5179939199942258</v>
      </c>
      <c r="V50" s="41">
        <f t="shared" si="8"/>
        <v>1.25</v>
      </c>
      <c r="W50" s="44">
        <f t="shared" si="8"/>
        <v>69.078013363006988</v>
      </c>
    </row>
    <row r="51" spans="2:23" x14ac:dyDescent="0.25">
      <c r="B51" s="62" t="s">
        <v>126</v>
      </c>
      <c r="C51" s="40" t="s">
        <v>49</v>
      </c>
      <c r="D51" s="40" t="s">
        <v>50</v>
      </c>
      <c r="E51" s="40" t="s">
        <v>124</v>
      </c>
      <c r="F51" s="41">
        <f>Sheet1!E70</f>
        <v>3.76</v>
      </c>
      <c r="G51" s="41">
        <f>Sheet1!F70</f>
        <v>1.8712580348943986</v>
      </c>
      <c r="H51" s="41">
        <f t="shared" si="4"/>
        <v>1.8887419651056012</v>
      </c>
      <c r="I51" s="41">
        <f>Sheet1!G70</f>
        <v>2.2507548209366393</v>
      </c>
      <c r="J51" s="41">
        <f>Sheet1!H70</f>
        <v>1.8887419651056012</v>
      </c>
      <c r="K51" s="41">
        <f>Sheet1!I70</f>
        <v>5</v>
      </c>
      <c r="L51" s="41">
        <f>Sheet1!J70</f>
        <v>7.2764880427313479</v>
      </c>
      <c r="M51" s="41">
        <f>Sheet1!K70</f>
        <v>1</v>
      </c>
      <c r="N51" s="41">
        <f>Sheet1!L70</f>
        <v>16.377590541665391</v>
      </c>
      <c r="O51" s="41">
        <f>Sheet1!M70</f>
        <v>8.2882042507758182</v>
      </c>
      <c r="P51" s="41">
        <f>Sheet1!N70</f>
        <v>1.1000000000000001</v>
      </c>
      <c r="Q51" s="63">
        <f>Sheet1!O70</f>
        <v>20.520187241775343</v>
      </c>
      <c r="R51" s="41">
        <f>Sheet1!P70</f>
        <v>9.0876517826637997</v>
      </c>
      <c r="S51" s="41">
        <f>Sheet1!Q70</f>
        <v>1.2</v>
      </c>
      <c r="T51" s="41">
        <f>Sheet1!R70</f>
        <v>24.544891272988789</v>
      </c>
      <c r="U51" s="41">
        <f>Sheet1!S70</f>
        <v>9.8994696225611225</v>
      </c>
      <c r="V51" s="41">
        <f>Sheet1!T70</f>
        <v>1.25</v>
      </c>
      <c r="W51" s="44">
        <f>Sheet1!U70</f>
        <v>27.851598722119071</v>
      </c>
    </row>
    <row r="52" spans="2:23" ht="16.5" thickBot="1" x14ac:dyDescent="0.3">
      <c r="B52" s="64" t="s">
        <v>126</v>
      </c>
      <c r="C52" s="25" t="s">
        <v>77</v>
      </c>
      <c r="D52" s="25" t="s">
        <v>69</v>
      </c>
      <c r="E52" s="25" t="s">
        <v>125</v>
      </c>
      <c r="F52" s="48">
        <f>Sheet1!E71</f>
        <v>71.89</v>
      </c>
      <c r="G52" s="48">
        <f>Sheet1!F71</f>
        <v>1.5618457300275481</v>
      </c>
      <c r="H52" s="48">
        <f t="shared" si="4"/>
        <v>70.328154269972458</v>
      </c>
      <c r="I52" s="48">
        <f>Sheet1!G71</f>
        <v>22.504107438016533</v>
      </c>
      <c r="J52" s="48">
        <f>Sheet1!H71</f>
        <v>70.328154269972458</v>
      </c>
      <c r="K52" s="48">
        <f>Sheet1!I71</f>
        <v>59.28</v>
      </c>
      <c r="L52" s="48">
        <f>Sheet1!J71</f>
        <v>2.8876499477340736</v>
      </c>
      <c r="M52" s="48">
        <f>Sheet1!K71</f>
        <v>1</v>
      </c>
      <c r="N52" s="48">
        <f>Sheet1!L71</f>
        <v>64.983984667190413</v>
      </c>
      <c r="O52" s="48">
        <f>Sheet1!M71</f>
        <v>3.2266331417253102</v>
      </c>
      <c r="P52" s="48">
        <f>Sheet1!N71</f>
        <v>1.1000000000000001</v>
      </c>
      <c r="Q52" s="65">
        <f>Sheet1!O71</f>
        <v>79.873748772896334</v>
      </c>
      <c r="R52" s="48">
        <f>Sheet1!P71</f>
        <v>3.4867401001300524</v>
      </c>
      <c r="S52" s="48">
        <f>Sheet1!Q71</f>
        <v>1.2</v>
      </c>
      <c r="T52" s="48">
        <f>Sheet1!R71</f>
        <v>94.159168586120671</v>
      </c>
      <c r="U52" s="48">
        <f>Sheet1!S71</f>
        <v>3.7434025368601498</v>
      </c>
      <c r="V52" s="48">
        <f>Sheet1!T71</f>
        <v>1.25</v>
      </c>
      <c r="W52" s="51">
        <f>Sheet1!U71</f>
        <v>105.30241609155556</v>
      </c>
    </row>
  </sheetData>
  <mergeCells count="12">
    <mergeCell ref="L39:N39"/>
    <mergeCell ref="O39:Q39"/>
    <mergeCell ref="R39:T39"/>
    <mergeCell ref="U39:W39"/>
    <mergeCell ref="L2:N2"/>
    <mergeCell ref="O2:Q2"/>
    <mergeCell ref="R2:T2"/>
    <mergeCell ref="U2:W2"/>
    <mergeCell ref="L16:N16"/>
    <mergeCell ref="O16:Q16"/>
    <mergeCell ref="R16:T16"/>
    <mergeCell ref="U16:W16"/>
  </mergeCells>
  <pageMargins left="0.7" right="0.7" top="0.75" bottom="0.75" header="0.3" footer="0.3"/>
  <pageSetup paperSize="3" scale="77" orientation="landscape" horizontalDpi="30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8:W52"/>
  <sheetViews>
    <sheetView workbookViewId="0">
      <selection activeCell="W40" sqref="B40:W40"/>
    </sheetView>
  </sheetViews>
  <sheetFormatPr defaultRowHeight="15" x14ac:dyDescent="0.25"/>
  <sheetData>
    <row r="38" spans="2:23" ht="15.75" thickBot="1" x14ac:dyDescent="0.3"/>
    <row r="39" spans="2:23" ht="15.75" x14ac:dyDescent="0.25">
      <c r="B39" s="21"/>
      <c r="C39" s="22"/>
      <c r="D39" s="22"/>
      <c r="E39" s="22"/>
      <c r="F39" s="22"/>
      <c r="G39" s="22" t="s">
        <v>132</v>
      </c>
      <c r="H39" s="22" t="s">
        <v>133</v>
      </c>
      <c r="I39" s="22"/>
      <c r="J39" s="22"/>
      <c r="K39" s="22"/>
      <c r="L39" s="88" t="s">
        <v>15</v>
      </c>
      <c r="M39" s="88"/>
      <c r="N39" s="88"/>
      <c r="O39" s="88" t="s">
        <v>16</v>
      </c>
      <c r="P39" s="88"/>
      <c r="Q39" s="88"/>
      <c r="R39" s="88" t="s">
        <v>1</v>
      </c>
      <c r="S39" s="88"/>
      <c r="T39" s="88"/>
      <c r="U39" s="88" t="s">
        <v>6</v>
      </c>
      <c r="V39" s="88"/>
      <c r="W39" s="89"/>
    </row>
    <row r="40" spans="2:23" ht="48" thickBot="1" x14ac:dyDescent="0.3">
      <c r="B40" s="24" t="s">
        <v>129</v>
      </c>
      <c r="C40" s="25" t="s">
        <v>130</v>
      </c>
      <c r="D40" s="25" t="s">
        <v>131</v>
      </c>
      <c r="E40" s="40" t="s">
        <v>97</v>
      </c>
      <c r="F40" s="60" t="s">
        <v>13</v>
      </c>
      <c r="G40" s="60" t="s">
        <v>119</v>
      </c>
      <c r="H40" s="26" t="str">
        <f t="shared" ref="H40:H52" si="0">J40</f>
        <v>unimproved area (Acre)</v>
      </c>
      <c r="I40" s="40" t="s">
        <v>7</v>
      </c>
      <c r="J40" s="60" t="s">
        <v>118</v>
      </c>
      <c r="K40" s="40" t="s">
        <v>102</v>
      </c>
      <c r="L40" s="40" t="s">
        <v>3</v>
      </c>
      <c r="M40" s="40" t="s">
        <v>4</v>
      </c>
      <c r="N40" s="40" t="s">
        <v>5</v>
      </c>
      <c r="O40" s="40" t="s">
        <v>3</v>
      </c>
      <c r="P40" s="40" t="s">
        <v>4</v>
      </c>
      <c r="Q40" s="40" t="s">
        <v>5</v>
      </c>
      <c r="R40" s="40" t="s">
        <v>3</v>
      </c>
      <c r="S40" s="40" t="s">
        <v>4</v>
      </c>
      <c r="T40" s="40" t="s">
        <v>5</v>
      </c>
      <c r="U40" s="40" t="s">
        <v>3</v>
      </c>
      <c r="V40" s="40" t="s">
        <v>4</v>
      </c>
      <c r="W40" s="61" t="s">
        <v>5</v>
      </c>
    </row>
    <row r="41" spans="2:23" ht="15.75" x14ac:dyDescent="0.25">
      <c r="B41" s="62" t="s">
        <v>126</v>
      </c>
      <c r="C41" s="40">
        <f>C3</f>
        <v>0</v>
      </c>
      <c r="D41" s="40">
        <f>D3</f>
        <v>0</v>
      </c>
      <c r="E41" s="40">
        <f>E3</f>
        <v>0</v>
      </c>
      <c r="F41" s="40">
        <f>F3</f>
        <v>0</v>
      </c>
      <c r="G41" s="41">
        <f>G3</f>
        <v>0</v>
      </c>
      <c r="H41" s="41">
        <f t="shared" si="0"/>
        <v>0</v>
      </c>
      <c r="I41" s="41">
        <f t="shared" ref="I41:W41" si="1">I3</f>
        <v>0</v>
      </c>
      <c r="J41" s="41">
        <f t="shared" si="1"/>
        <v>0</v>
      </c>
      <c r="K41" s="41">
        <f t="shared" si="1"/>
        <v>0</v>
      </c>
      <c r="L41" s="41">
        <f t="shared" si="1"/>
        <v>0</v>
      </c>
      <c r="M41" s="41">
        <f t="shared" si="1"/>
        <v>0</v>
      </c>
      <c r="N41" s="41">
        <f t="shared" si="1"/>
        <v>0</v>
      </c>
      <c r="O41" s="41">
        <f t="shared" si="1"/>
        <v>0</v>
      </c>
      <c r="P41" s="41">
        <f t="shared" si="1"/>
        <v>0</v>
      </c>
      <c r="Q41" s="63">
        <f t="shared" si="1"/>
        <v>0</v>
      </c>
      <c r="R41" s="41">
        <f t="shared" si="1"/>
        <v>0</v>
      </c>
      <c r="S41" s="41">
        <f t="shared" si="1"/>
        <v>0</v>
      </c>
      <c r="T41" s="41">
        <f t="shared" si="1"/>
        <v>0</v>
      </c>
      <c r="U41" s="41">
        <f t="shared" si="1"/>
        <v>0</v>
      </c>
      <c r="V41" s="41">
        <f t="shared" si="1"/>
        <v>0</v>
      </c>
      <c r="W41" s="44">
        <f t="shared" si="1"/>
        <v>0</v>
      </c>
    </row>
    <row r="42" spans="2:23" ht="15.75" x14ac:dyDescent="0.25">
      <c r="B42" s="62" t="s">
        <v>126</v>
      </c>
      <c r="C42" s="40">
        <f>C5</f>
        <v>0</v>
      </c>
      <c r="D42" s="40" t="s">
        <v>50</v>
      </c>
      <c r="E42" s="40">
        <f>E5</f>
        <v>0</v>
      </c>
      <c r="F42" s="41">
        <f>F5</f>
        <v>0</v>
      </c>
      <c r="G42" s="41">
        <f>G5</f>
        <v>0</v>
      </c>
      <c r="H42" s="41">
        <f t="shared" si="0"/>
        <v>0</v>
      </c>
      <c r="I42" s="41">
        <f t="shared" ref="I42:W42" si="2">I5</f>
        <v>0</v>
      </c>
      <c r="J42" s="41">
        <f t="shared" si="2"/>
        <v>0</v>
      </c>
      <c r="K42" s="41">
        <f t="shared" si="2"/>
        <v>0</v>
      </c>
      <c r="L42" s="41">
        <f t="shared" si="2"/>
        <v>0</v>
      </c>
      <c r="M42" s="41">
        <f t="shared" si="2"/>
        <v>0</v>
      </c>
      <c r="N42" s="41">
        <f t="shared" si="2"/>
        <v>0</v>
      </c>
      <c r="O42" s="41">
        <f t="shared" si="2"/>
        <v>0</v>
      </c>
      <c r="P42" s="41">
        <f t="shared" si="2"/>
        <v>0</v>
      </c>
      <c r="Q42" s="63">
        <f t="shared" si="2"/>
        <v>0</v>
      </c>
      <c r="R42" s="41">
        <f t="shared" si="2"/>
        <v>0</v>
      </c>
      <c r="S42" s="41">
        <f t="shared" si="2"/>
        <v>0</v>
      </c>
      <c r="T42" s="41">
        <f t="shared" si="2"/>
        <v>0</v>
      </c>
      <c r="U42" s="41">
        <f t="shared" si="2"/>
        <v>0</v>
      </c>
      <c r="V42" s="41">
        <f t="shared" si="2"/>
        <v>0</v>
      </c>
      <c r="W42" s="44">
        <f t="shared" si="2"/>
        <v>0</v>
      </c>
    </row>
    <row r="43" spans="2:23" ht="15.75" x14ac:dyDescent="0.25">
      <c r="B43" s="62" t="s">
        <v>126</v>
      </c>
      <c r="C43" s="40" t="str">
        <f>Sheet1!B47</f>
        <v xml:space="preserve">RAMP 1 </v>
      </c>
      <c r="D43" s="40" t="str">
        <f>Sheet1!C47</f>
        <v>LT</v>
      </c>
      <c r="E43" s="40" t="str">
        <f>Sheet1!D47</f>
        <v>110+00</v>
      </c>
      <c r="F43" s="41">
        <f>Sheet1!E47</f>
        <v>100.02770000000001</v>
      </c>
      <c r="G43" s="41">
        <f>Sheet1!F47</f>
        <v>15.286382736455467</v>
      </c>
      <c r="H43" s="41">
        <f t="shared" si="0"/>
        <v>84.741317263544545</v>
      </c>
      <c r="I43" s="41">
        <f>Sheet1!G47</f>
        <v>26.136599641873275</v>
      </c>
      <c r="J43" s="41">
        <f>Sheet1!H47</f>
        <v>84.741317263544545</v>
      </c>
      <c r="K43" s="41">
        <f>Sheet1!I47</f>
        <v>76.61999999999999</v>
      </c>
      <c r="L43" s="41">
        <f>Sheet1!J47</f>
        <v>2.4198023658282146</v>
      </c>
      <c r="M43" s="41">
        <f>Sheet1!K47</f>
        <v>1</v>
      </c>
      <c r="N43" s="41">
        <f>Sheet1!L47</f>
        <v>63.245405648109816</v>
      </c>
      <c r="O43" s="41">
        <f>Sheet1!M47</f>
        <v>2.7007605814991353</v>
      </c>
      <c r="P43" s="41">
        <f>Sheet1!N47</f>
        <v>1.1000000000000001</v>
      </c>
      <c r="Q43" s="63">
        <f>Sheet1!O47</f>
        <v>77.64756785191534</v>
      </c>
      <c r="R43" s="41">
        <f>Sheet1!P47</f>
        <v>2.9159959866119505</v>
      </c>
      <c r="S43" s="41">
        <f>Sheet1!Q47</f>
        <v>1.2</v>
      </c>
      <c r="T43" s="41">
        <f>Sheet1!R47</f>
        <v>91.457063591262965</v>
      </c>
      <c r="U43" s="41">
        <f>Sheet1!S47</f>
        <v>3.1280094279425281</v>
      </c>
      <c r="V43" s="41">
        <f>Sheet1!T47</f>
        <v>1.25</v>
      </c>
      <c r="W43" s="44">
        <f>Sheet1!U47</f>
        <v>102.19441261767363</v>
      </c>
    </row>
    <row r="44" spans="2:23" ht="15.75" x14ac:dyDescent="0.25">
      <c r="B44" s="62" t="s">
        <v>126</v>
      </c>
      <c r="C44" s="40" t="str">
        <f>Sheet1!B56</f>
        <v>RAMP 1</v>
      </c>
      <c r="D44" s="40" t="str">
        <f>Sheet1!C56</f>
        <v>LT</v>
      </c>
      <c r="E44" s="40" t="str">
        <f>Sheet1!D56</f>
        <v>143+30</v>
      </c>
      <c r="F44" s="41">
        <f>Sheet1!E56</f>
        <v>95.488299999999995</v>
      </c>
      <c r="G44" s="41">
        <f>Sheet1!F56</f>
        <v>11.382245179063361</v>
      </c>
      <c r="H44" s="41">
        <f t="shared" si="0"/>
        <v>84.106054820936635</v>
      </c>
      <c r="I44" s="41">
        <f>Sheet1!G56</f>
        <v>22.140837107438021</v>
      </c>
      <c r="J44" s="41">
        <f>Sheet1!H56</f>
        <v>84.106054820936635</v>
      </c>
      <c r="K44" s="41">
        <f>Sheet1!I56</f>
        <v>82.98</v>
      </c>
      <c r="L44" s="41">
        <f>Sheet1!J56</f>
        <v>2.2839673698071761</v>
      </c>
      <c r="M44" s="41">
        <f>Sheet1!K56</f>
        <v>1</v>
      </c>
      <c r="N44" s="41">
        <f>Sheet1!L56</f>
        <v>50.568949493604343</v>
      </c>
      <c r="O44" s="41">
        <f>Sheet1!M56</f>
        <v>2.5484874286896297</v>
      </c>
      <c r="P44" s="41">
        <f>Sheet1!N56</f>
        <v>1.1000000000000001</v>
      </c>
      <c r="Q44" s="63">
        <f>Sheet1!O56</f>
        <v>62.06820953186773</v>
      </c>
      <c r="R44" s="41">
        <f>Sheet1!P56</f>
        <v>2.7510549820237573</v>
      </c>
      <c r="S44" s="41">
        <f>Sheet1!Q56</f>
        <v>1.2</v>
      </c>
      <c r="T44" s="41">
        <f>Sheet1!R56</f>
        <v>73.092792276712615</v>
      </c>
      <c r="U44" s="41">
        <f>Sheet1!S56</f>
        <v>2.992652446427857</v>
      </c>
      <c r="V44" s="41">
        <f>Sheet1!T56</f>
        <v>1.25</v>
      </c>
      <c r="W44" s="44">
        <f>Sheet1!U56</f>
        <v>82.824787919418839</v>
      </c>
    </row>
    <row r="45" spans="2:23" ht="15.75" x14ac:dyDescent="0.25">
      <c r="B45" s="62" t="s">
        <v>126</v>
      </c>
      <c r="C45" s="40" t="str">
        <f>Sheet1!B69</f>
        <v>RAMP 1</v>
      </c>
      <c r="D45" s="40" t="str">
        <f>Sheet1!C69</f>
        <v>RT</v>
      </c>
      <c r="E45" s="40" t="str">
        <f>Sheet1!D69</f>
        <v>161+50</v>
      </c>
      <c r="F45" s="41">
        <f>Sheet1!E69</f>
        <v>27.3</v>
      </c>
      <c r="G45" s="41">
        <f>Sheet1!F69</f>
        <v>0.78181818181818186</v>
      </c>
      <c r="H45" s="41">
        <f t="shared" si="0"/>
        <v>26.518181818181819</v>
      </c>
      <c r="I45" s="41">
        <f>Sheet1!G69</f>
        <v>8.6590909090909083</v>
      </c>
      <c r="J45" s="41">
        <f>Sheet1!H69</f>
        <v>26.518181818181819</v>
      </c>
      <c r="K45" s="41">
        <f>Sheet1!I69</f>
        <v>144</v>
      </c>
      <c r="L45" s="41">
        <f>Sheet1!J69</f>
        <v>1.4835112600445803</v>
      </c>
      <c r="M45" s="41">
        <f>Sheet1!K69</f>
        <v>1</v>
      </c>
      <c r="N45" s="41">
        <f>Sheet1!L69</f>
        <v>12.845858865386024</v>
      </c>
      <c r="O45" s="41">
        <f>Sheet1!M69</f>
        <v>1.6544442831566311</v>
      </c>
      <c r="P45" s="41">
        <f>Sheet1!N69</f>
        <v>1.1000000000000001</v>
      </c>
      <c r="Q45" s="63">
        <f>Sheet1!O69</f>
        <v>15.758581797066912</v>
      </c>
      <c r="R45" s="41">
        <f>Sheet1!P69</f>
        <v>1.7852239610901648</v>
      </c>
      <c r="S45" s="41">
        <f>Sheet1!Q69</f>
        <v>1.2</v>
      </c>
      <c r="T45" s="41">
        <f>Sheet1!R69</f>
        <v>18.550099886600528</v>
      </c>
      <c r="U45" s="41">
        <f>Sheet1!S69</f>
        <v>1.9138047138476109</v>
      </c>
      <c r="V45" s="41">
        <f>Sheet1!T69</f>
        <v>1.25</v>
      </c>
      <c r="W45" s="44">
        <f>Sheet1!U69</f>
        <v>20.714761249316467</v>
      </c>
    </row>
    <row r="46" spans="2:23" ht="15.75" x14ac:dyDescent="0.25">
      <c r="B46" s="62" t="s">
        <v>126</v>
      </c>
      <c r="C46" s="40" t="s">
        <v>86</v>
      </c>
      <c r="D46" s="40" t="s">
        <v>50</v>
      </c>
      <c r="E46" s="40" t="s">
        <v>73</v>
      </c>
      <c r="F46" s="41">
        <f>F9</f>
        <v>0</v>
      </c>
      <c r="G46" s="41">
        <f>G9</f>
        <v>0</v>
      </c>
      <c r="H46" s="41">
        <f t="shared" si="0"/>
        <v>0</v>
      </c>
      <c r="I46" s="41">
        <f t="shared" ref="I46:W46" si="3">I9</f>
        <v>0</v>
      </c>
      <c r="J46" s="41">
        <f t="shared" si="3"/>
        <v>0</v>
      </c>
      <c r="K46" s="41">
        <f t="shared" si="3"/>
        <v>0</v>
      </c>
      <c r="L46" s="41">
        <f t="shared" si="3"/>
        <v>0</v>
      </c>
      <c r="M46" s="41">
        <f t="shared" si="3"/>
        <v>0</v>
      </c>
      <c r="N46" s="41">
        <f t="shared" si="3"/>
        <v>0</v>
      </c>
      <c r="O46" s="41">
        <f t="shared" si="3"/>
        <v>0</v>
      </c>
      <c r="P46" s="41">
        <f t="shared" si="3"/>
        <v>0</v>
      </c>
      <c r="Q46" s="63">
        <f t="shared" si="3"/>
        <v>0</v>
      </c>
      <c r="R46" s="41">
        <f t="shared" si="3"/>
        <v>0</v>
      </c>
      <c r="S46" s="41">
        <f t="shared" si="3"/>
        <v>0</v>
      </c>
      <c r="T46" s="41">
        <f t="shared" si="3"/>
        <v>0</v>
      </c>
      <c r="U46" s="41">
        <f t="shared" si="3"/>
        <v>0</v>
      </c>
      <c r="V46" s="41">
        <f t="shared" si="3"/>
        <v>0</v>
      </c>
      <c r="W46" s="44">
        <f t="shared" si="3"/>
        <v>0</v>
      </c>
    </row>
    <row r="47" spans="2:23" ht="15.75" x14ac:dyDescent="0.25">
      <c r="B47" s="62" t="s">
        <v>126</v>
      </c>
      <c r="C47" s="40" t="str">
        <f>Sheet1!B68</f>
        <v>RAMP4</v>
      </c>
      <c r="D47" s="40" t="str">
        <f>Sheet1!C68</f>
        <v>RT</v>
      </c>
      <c r="E47" s="40" t="str">
        <f>Sheet1!D68</f>
        <v>403+04</v>
      </c>
      <c r="F47" s="41">
        <f>Sheet1!E68</f>
        <v>1.24</v>
      </c>
      <c r="G47" s="41">
        <f>Sheet1!F68</f>
        <v>0.43553719008264463</v>
      </c>
      <c r="H47" s="41">
        <f t="shared" si="0"/>
        <v>0.80446280991735541</v>
      </c>
      <c r="I47" s="41">
        <f>Sheet1!G68</f>
        <v>0.63332231404958683</v>
      </c>
      <c r="J47" s="41">
        <f>Sheet1!H68</f>
        <v>0.80446280991735541</v>
      </c>
      <c r="K47" s="41">
        <f>Sheet1!I68</f>
        <v>5</v>
      </c>
      <c r="L47" s="41">
        <f>Sheet1!J68</f>
        <v>7.2764880427313479</v>
      </c>
      <c r="M47" s="41">
        <f>Sheet1!K68</f>
        <v>1</v>
      </c>
      <c r="N47" s="41">
        <f>Sheet1!L68</f>
        <v>4.6083622453767665</v>
      </c>
      <c r="O47" s="41">
        <f>Sheet1!M68</f>
        <v>8.2882042507758182</v>
      </c>
      <c r="P47" s="41">
        <f>Sheet1!N68</f>
        <v>1.1000000000000001</v>
      </c>
      <c r="Q47" s="63">
        <f>Sheet1!O68</f>
        <v>5.7740151649586595</v>
      </c>
      <c r="R47" s="41">
        <f>Sheet1!P68</f>
        <v>9.0876517826637997</v>
      </c>
      <c r="S47" s="41">
        <f>Sheet1!Q68</f>
        <v>1.2</v>
      </c>
      <c r="T47" s="41">
        <f>Sheet1!R68</f>
        <v>6.906495187528189</v>
      </c>
      <c r="U47" s="41">
        <f>Sheet1!S68</f>
        <v>9.8994696225611225</v>
      </c>
      <c r="V47" s="41">
        <f>Sheet1!T68</f>
        <v>1.25</v>
      </c>
      <c r="W47" s="44">
        <f>Sheet1!U68</f>
        <v>7.8369437615299997</v>
      </c>
    </row>
    <row r="48" spans="2:23" ht="15.75" x14ac:dyDescent="0.25">
      <c r="B48" s="62" t="s">
        <v>126</v>
      </c>
      <c r="C48" s="40" t="str">
        <f>Sheet1!B46</f>
        <v>EB</v>
      </c>
      <c r="D48" s="40" t="str">
        <f>Sheet1!C46</f>
        <v>RT</v>
      </c>
      <c r="E48" s="40" t="str">
        <f>Sheet1!D46</f>
        <v>667+00</v>
      </c>
      <c r="F48" s="41">
        <f>Sheet1!E46</f>
        <v>501.16770000000002</v>
      </c>
      <c r="G48" s="41">
        <f>Sheet1!F46</f>
        <v>20.450469054178146</v>
      </c>
      <c r="H48" s="41">
        <f t="shared" si="0"/>
        <v>480.71723094582188</v>
      </c>
      <c r="I48" s="41">
        <f>Sheet1!G46</f>
        <v>70.513051432506884</v>
      </c>
      <c r="J48" s="41">
        <f>Sheet1!H46</f>
        <v>480.71723094582188</v>
      </c>
      <c r="K48" s="41">
        <f>Sheet1!I46</f>
        <v>261.42</v>
      </c>
      <c r="L48" s="41">
        <f>Sheet1!J46</f>
        <v>0.88477893255967754</v>
      </c>
      <c r="M48" s="41">
        <f>Sheet1!K46</f>
        <v>1</v>
      </c>
      <c r="N48" s="41">
        <f>Sheet1!L46</f>
        <v>62.388462377979081</v>
      </c>
      <c r="O48" s="41">
        <f>Sheet1!M46</f>
        <v>0.98844318780596352</v>
      </c>
      <c r="P48" s="41">
        <f>Sheet1!N46</f>
        <v>1.1000000000000001</v>
      </c>
      <c r="Q48" s="63">
        <f>Sheet1!O46</f>
        <v>76.667959873860269</v>
      </c>
      <c r="R48" s="41">
        <f>Sheet1!P46</f>
        <v>1.0678936024820138</v>
      </c>
      <c r="S48" s="41">
        <f>Sheet1!Q46</f>
        <v>1.2</v>
      </c>
      <c r="T48" s="41">
        <f>Sheet1!R46</f>
        <v>90.360523819511158</v>
      </c>
      <c r="U48" s="41">
        <f>Sheet1!S46</f>
        <v>1.1658076295754882</v>
      </c>
      <c r="V48" s="41">
        <f>Sheet1!T46</f>
        <v>1.25</v>
      </c>
      <c r="W48" s="44">
        <f>Sheet1!U46</f>
        <v>102.75581668083166</v>
      </c>
    </row>
    <row r="49" spans="2:23" ht="15.75" x14ac:dyDescent="0.25">
      <c r="B49" s="62" t="s">
        <v>126</v>
      </c>
      <c r="C49" s="40" t="str">
        <f>SUMMARY!C19</f>
        <v>EB</v>
      </c>
      <c r="D49" s="40" t="str">
        <f>SUMMARY!D19</f>
        <v>XS</v>
      </c>
      <c r="E49" s="40" t="s">
        <v>127</v>
      </c>
      <c r="F49" s="41">
        <f>SUMMARY!F19</f>
        <v>0.84</v>
      </c>
      <c r="G49" s="41">
        <f>SUMMARY!G19</f>
        <v>0.68007346189164375</v>
      </c>
      <c r="H49" s="41">
        <f t="shared" si="0"/>
        <v>0.15992653810835622</v>
      </c>
      <c r="I49" s="41">
        <f>SUMMARY!I19</f>
        <v>0.66004407713498625</v>
      </c>
      <c r="J49" s="41">
        <f>SUMMARY!J19</f>
        <v>0.15992653810835622</v>
      </c>
      <c r="K49" s="41">
        <f>SUMMARY!K19</f>
        <v>5</v>
      </c>
      <c r="L49" s="41">
        <f>SUMMARY!L19</f>
        <v>7.2764880427313479</v>
      </c>
      <c r="M49" s="41">
        <f>SUMMARY!M19</f>
        <v>1</v>
      </c>
      <c r="N49" s="41">
        <f>SUMMARY!N19</f>
        <v>4.8028028349483751</v>
      </c>
      <c r="O49" s="41">
        <f>SUMMARY!O19</f>
        <v>8.2882042507758182</v>
      </c>
      <c r="P49" s="41">
        <f>SUMMARY!P19</f>
        <v>1.1000000000000001</v>
      </c>
      <c r="Q49" s="63">
        <f>SUMMARY!Q19</f>
        <v>6.0176381383905548</v>
      </c>
      <c r="R49" s="41">
        <f>SUMMARY!R19</f>
        <v>9.0876517826637997</v>
      </c>
      <c r="S49" s="41">
        <f>SUMMARY!S19</f>
        <v>1.2</v>
      </c>
      <c r="T49" s="41">
        <f>SUMMARY!T19</f>
        <v>7.1979008810549283</v>
      </c>
      <c r="U49" s="41">
        <f>SUMMARY!U19</f>
        <v>9.8994696225611225</v>
      </c>
      <c r="V49" s="41">
        <f>SUMMARY!V19</f>
        <v>1.25</v>
      </c>
      <c r="W49" s="44">
        <f>SUMMARY!W19</f>
        <v>8.1676078639364835</v>
      </c>
    </row>
    <row r="50" spans="2:23" ht="15.75" x14ac:dyDescent="0.25">
      <c r="B50" s="62" t="s">
        <v>126</v>
      </c>
      <c r="C50" s="40">
        <f>C24</f>
        <v>0</v>
      </c>
      <c r="D50" s="40">
        <f>D24</f>
        <v>0</v>
      </c>
      <c r="E50" s="40" t="s">
        <v>128</v>
      </c>
      <c r="F50" s="41">
        <f>F24</f>
        <v>0</v>
      </c>
      <c r="G50" s="41">
        <f>G24</f>
        <v>0</v>
      </c>
      <c r="H50" s="41">
        <f t="shared" si="0"/>
        <v>0</v>
      </c>
      <c r="I50" s="41">
        <f t="shared" ref="I50:W50" si="4">I24</f>
        <v>0</v>
      </c>
      <c r="J50" s="41">
        <f t="shared" si="4"/>
        <v>0</v>
      </c>
      <c r="K50" s="41">
        <f t="shared" si="4"/>
        <v>0</v>
      </c>
      <c r="L50" s="41">
        <f t="shared" si="4"/>
        <v>0</v>
      </c>
      <c r="M50" s="41">
        <f t="shared" si="4"/>
        <v>0</v>
      </c>
      <c r="N50" s="41">
        <f t="shared" si="4"/>
        <v>0</v>
      </c>
      <c r="O50" s="41">
        <f t="shared" si="4"/>
        <v>0</v>
      </c>
      <c r="P50" s="41">
        <f t="shared" si="4"/>
        <v>0</v>
      </c>
      <c r="Q50" s="63">
        <f t="shared" si="4"/>
        <v>0</v>
      </c>
      <c r="R50" s="41">
        <f t="shared" si="4"/>
        <v>0</v>
      </c>
      <c r="S50" s="41">
        <f t="shared" si="4"/>
        <v>0</v>
      </c>
      <c r="T50" s="41">
        <f t="shared" si="4"/>
        <v>0</v>
      </c>
      <c r="U50" s="41">
        <f t="shared" si="4"/>
        <v>0</v>
      </c>
      <c r="V50" s="41">
        <f t="shared" si="4"/>
        <v>0</v>
      </c>
      <c r="W50" s="44">
        <f t="shared" si="4"/>
        <v>0</v>
      </c>
    </row>
    <row r="51" spans="2:23" ht="15.75" x14ac:dyDescent="0.25">
      <c r="B51" s="62" t="s">
        <v>126</v>
      </c>
      <c r="C51" s="40" t="str">
        <f>Sheet1!B70</f>
        <v>EB</v>
      </c>
      <c r="D51" s="40" t="str">
        <f>Sheet1!C70</f>
        <v>RT</v>
      </c>
      <c r="E51" s="40" t="str">
        <f>Sheet1!D70</f>
        <v>771+50</v>
      </c>
      <c r="F51" s="41">
        <f>Sheet1!E70</f>
        <v>3.76</v>
      </c>
      <c r="G51" s="41">
        <f>Sheet1!F70</f>
        <v>1.8712580348943986</v>
      </c>
      <c r="H51" s="41">
        <f t="shared" si="0"/>
        <v>1.8887419651056012</v>
      </c>
      <c r="I51" s="41">
        <f>Sheet1!G70</f>
        <v>2.2507548209366393</v>
      </c>
      <c r="J51" s="41">
        <f>Sheet1!H70</f>
        <v>1.8887419651056012</v>
      </c>
      <c r="K51" s="41">
        <f>Sheet1!I70</f>
        <v>5</v>
      </c>
      <c r="L51" s="41">
        <f>Sheet1!J70</f>
        <v>7.2764880427313479</v>
      </c>
      <c r="M51" s="41">
        <f>Sheet1!K70</f>
        <v>1</v>
      </c>
      <c r="N51" s="41">
        <f>Sheet1!L70</f>
        <v>16.377590541665391</v>
      </c>
      <c r="O51" s="41">
        <f>Sheet1!M70</f>
        <v>8.2882042507758182</v>
      </c>
      <c r="P51" s="41">
        <f>Sheet1!N70</f>
        <v>1.1000000000000001</v>
      </c>
      <c r="Q51" s="63">
        <f>Sheet1!O70</f>
        <v>20.520187241775343</v>
      </c>
      <c r="R51" s="41">
        <f>Sheet1!P70</f>
        <v>9.0876517826637997</v>
      </c>
      <c r="S51" s="41">
        <f>Sheet1!Q70</f>
        <v>1.2</v>
      </c>
      <c r="T51" s="41">
        <f>Sheet1!R70</f>
        <v>24.544891272988789</v>
      </c>
      <c r="U51" s="41">
        <f>Sheet1!S70</f>
        <v>9.8994696225611225</v>
      </c>
      <c r="V51" s="41">
        <f>Sheet1!T70</f>
        <v>1.25</v>
      </c>
      <c r="W51" s="44">
        <f>Sheet1!U70</f>
        <v>27.851598722119071</v>
      </c>
    </row>
    <row r="52" spans="2:23" ht="16.5" thickBot="1" x14ac:dyDescent="0.3">
      <c r="B52" s="64" t="s">
        <v>126</v>
      </c>
      <c r="C52" s="25" t="str">
        <f>Sheet1!B71</f>
        <v>WB</v>
      </c>
      <c r="D52" s="25" t="str">
        <f>Sheet1!C71</f>
        <v>LT</v>
      </c>
      <c r="E52" s="25" t="str">
        <f>Sheet1!D71</f>
        <v>971+50</v>
      </c>
      <c r="F52" s="48">
        <f>Sheet1!E71</f>
        <v>71.89</v>
      </c>
      <c r="G52" s="48">
        <f>Sheet1!F71</f>
        <v>1.5618457300275481</v>
      </c>
      <c r="H52" s="41">
        <f t="shared" si="0"/>
        <v>70.328154269972458</v>
      </c>
      <c r="I52" s="48">
        <f>Sheet1!G71</f>
        <v>22.504107438016533</v>
      </c>
      <c r="J52" s="48">
        <f>Sheet1!H71</f>
        <v>70.328154269972458</v>
      </c>
      <c r="K52" s="48">
        <f>Sheet1!I71</f>
        <v>59.28</v>
      </c>
      <c r="L52" s="48">
        <f>Sheet1!J71</f>
        <v>2.8876499477340736</v>
      </c>
      <c r="M52" s="48">
        <f>Sheet1!K71</f>
        <v>1</v>
      </c>
      <c r="N52" s="48">
        <f>Sheet1!L71</f>
        <v>64.983984667190413</v>
      </c>
      <c r="O52" s="48">
        <f>Sheet1!M71</f>
        <v>3.2266331417253102</v>
      </c>
      <c r="P52" s="48">
        <f>Sheet1!N71</f>
        <v>1.1000000000000001</v>
      </c>
      <c r="Q52" s="65">
        <f>Sheet1!O71</f>
        <v>79.873748772896334</v>
      </c>
      <c r="R52" s="48">
        <f>Sheet1!P71</f>
        <v>3.4867401001300524</v>
      </c>
      <c r="S52" s="48">
        <f>Sheet1!Q71</f>
        <v>1.2</v>
      </c>
      <c r="T52" s="48">
        <f>Sheet1!R71</f>
        <v>94.159168586120671</v>
      </c>
      <c r="U52" s="48">
        <f>Sheet1!S71</f>
        <v>3.7434025368601498</v>
      </c>
      <c r="V52" s="48">
        <f>Sheet1!T71</f>
        <v>1.25</v>
      </c>
      <c r="W52" s="51">
        <f>Sheet1!U71</f>
        <v>105.30241609155556</v>
      </c>
    </row>
  </sheetData>
  <autoFilter ref="B40:W40">
    <sortState ref="B41:W52">
      <sortCondition ref="E40"/>
    </sortState>
  </autoFilter>
  <mergeCells count="4">
    <mergeCell ref="L39:N39"/>
    <mergeCell ref="O39:Q39"/>
    <mergeCell ref="R39:T39"/>
    <mergeCell ref="U39:W3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SUMMARY</vt:lpstr>
      <vt:lpstr>Sheet1</vt:lpstr>
      <vt:lpstr>Sheet2</vt:lpstr>
      <vt:lpstr>ABC for frequency</vt:lpstr>
      <vt:lpstr>Sheet4</vt:lpstr>
      <vt:lpstr>Sheet5</vt:lpstr>
      <vt:lpstr>Sheet6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Yao, Ling</dc:creator>
  <cp:lastModifiedBy>Yao, Ling</cp:lastModifiedBy>
  <cp:lastPrinted>2016-06-10T13:07:56Z</cp:lastPrinted>
  <dcterms:created xsi:type="dcterms:W3CDTF">2016-05-04T12:56:01Z</dcterms:created>
  <dcterms:modified xsi:type="dcterms:W3CDTF">2016-06-10T14:54:17Z</dcterms:modified>
</cp:coreProperties>
</file>