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2" windowWidth="15480" windowHeight="10368"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6" i="7" l="1"/>
  <c r="D25" i="2"/>
  <c r="F25" i="2" l="1"/>
  <c r="F26" i="7"/>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D17" i="2"/>
  <c r="H19" i="2" s="1"/>
  <c r="D47" i="2" s="1"/>
  <c r="F47" i="2" s="1"/>
  <c r="H20" i="7"/>
  <c r="D48" i="7" s="1"/>
  <c r="E28" i="6" s="1"/>
  <c r="D176" i="6"/>
  <c r="D174" i="6"/>
  <c r="D172" i="6"/>
  <c r="C68" i="6"/>
  <c r="C157" i="6"/>
  <c r="C69" i="6"/>
  <c r="C161" i="6"/>
  <c r="C160" i="6"/>
  <c r="C70" i="6"/>
  <c r="C158" i="6"/>
  <c r="F128" i="6"/>
  <c r="G24" i="6"/>
  <c r="E43" i="6" s="1"/>
  <c r="D56" i="6" s="1"/>
  <c r="F56" i="6" s="1"/>
  <c r="E81" i="6" s="1"/>
  <c r="G115" i="6"/>
  <c r="E134" i="6" s="1"/>
  <c r="D149" i="6" s="1"/>
  <c r="D106" i="3" l="1"/>
  <c r="D103" i="3"/>
  <c r="D105" i="3"/>
  <c r="D107" i="3"/>
  <c r="D46" i="3"/>
  <c r="D45" i="3"/>
  <c r="D47" i="3"/>
  <c r="D44"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D4" i="36"/>
  <c r="D4" i="25"/>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18" l="1"/>
  <c r="G9" i="18" s="1"/>
  <c r="D4" i="27"/>
  <c r="D4" i="12"/>
  <c r="D4" i="26"/>
  <c r="G12" i="26" s="1"/>
  <c r="D4" i="16"/>
  <c r="G9" i="16" s="1"/>
  <c r="D4" i="29"/>
  <c r="D4" i="14"/>
  <c r="D4" i="24"/>
  <c r="G11" i="24" s="1"/>
  <c r="D4" i="19"/>
  <c r="G11" i="19" s="1"/>
  <c r="D4" i="31"/>
  <c r="G9" i="31" s="1"/>
  <c r="D4" i="38"/>
  <c r="D4" i="28"/>
  <c r="G12" i="28" s="1"/>
  <c r="D4" i="30"/>
  <c r="G9" i="30" s="1"/>
  <c r="D4" i="37"/>
  <c r="G10" i="37" s="1"/>
  <c r="D4" i="21"/>
  <c r="D4" i="33"/>
  <c r="G11" i="33" s="1"/>
  <c r="D4" i="40"/>
  <c r="G9" i="40" s="1"/>
  <c r="D4" i="20"/>
  <c r="G14" i="20" s="1"/>
  <c r="D4" i="32"/>
  <c r="D4" i="39"/>
  <c r="G12" i="39" s="1"/>
  <c r="D4" i="23"/>
  <c r="G11" i="23" s="1"/>
  <c r="D4" i="35"/>
  <c r="G13" i="35" s="1"/>
  <c r="D4" i="42"/>
  <c r="D4" i="22"/>
  <c r="G9" i="22" s="1"/>
  <c r="D4" i="34"/>
  <c r="G14" i="34" s="1"/>
  <c r="G10" i="16"/>
  <c r="G9" i="36"/>
  <c r="G11" i="36"/>
  <c r="G13" i="36"/>
  <c r="G10" i="36"/>
  <c r="G12" i="36"/>
  <c r="G14" i="36"/>
  <c r="G10" i="26"/>
  <c r="G14" i="26"/>
  <c r="G9" i="26"/>
  <c r="G11" i="26"/>
  <c r="G10" i="12"/>
  <c r="G12" i="12"/>
  <c r="G14" i="12"/>
  <c r="G9" i="12"/>
  <c r="G11" i="12"/>
  <c r="G13" i="12"/>
  <c r="G10" i="14"/>
  <c r="G12" i="14"/>
  <c r="G14" i="14"/>
  <c r="G9" i="14"/>
  <c r="G11" i="14"/>
  <c r="G13" i="14"/>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H14" i="12"/>
  <c r="H9" i="12"/>
  <c r="H11" i="12"/>
  <c r="H13" i="12"/>
  <c r="H10" i="14"/>
  <c r="H12" i="14"/>
  <c r="H14" i="14"/>
  <c r="H9" i="14"/>
  <c r="H11" i="14"/>
  <c r="H13" i="14"/>
  <c r="G9" i="29"/>
  <c r="G11" i="29"/>
  <c r="G13" i="29"/>
  <c r="G10" i="29"/>
  <c r="G12" i="29"/>
  <c r="G14" i="29"/>
  <c r="G9" i="24"/>
  <c r="G9" i="19"/>
  <c r="G12" i="19"/>
  <c r="G13" i="31"/>
  <c r="G9" i="38"/>
  <c r="G11" i="38"/>
  <c r="G13" i="38"/>
  <c r="G10" i="38"/>
  <c r="G12" i="38"/>
  <c r="G14" i="38"/>
  <c r="G11" i="28"/>
  <c r="G14" i="30"/>
  <c r="G14" i="37"/>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25"/>
  <c r="G10" i="25"/>
  <c r="G12" i="25"/>
  <c r="G14" i="25"/>
  <c r="G11" i="25"/>
  <c r="G13" i="25"/>
  <c r="G10" i="40"/>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9" i="21"/>
  <c r="G11" i="21"/>
  <c r="G13" i="21"/>
  <c r="G10" i="21"/>
  <c r="G12" i="21"/>
  <c r="G14" i="21"/>
  <c r="G10" i="20"/>
  <c r="G9" i="20"/>
  <c r="G11" i="20"/>
  <c r="G10" i="32"/>
  <c r="G12" i="32"/>
  <c r="G14" i="32"/>
  <c r="G9" i="32"/>
  <c r="G11" i="32"/>
  <c r="G13" i="32"/>
  <c r="H10" i="25"/>
  <c r="H12" i="25"/>
  <c r="H14" i="25"/>
  <c r="H9" i="25"/>
  <c r="H11" i="25"/>
  <c r="H13" i="25"/>
  <c r="H9" i="33"/>
  <c r="H11" i="33"/>
  <c r="H13" i="33"/>
  <c r="H10" i="33"/>
  <c r="H12" i="33"/>
  <c r="H14" i="33"/>
  <c r="G14" i="18"/>
  <c r="G9" i="23"/>
  <c r="G12" i="23"/>
  <c r="G9" i="35"/>
  <c r="G10" i="35"/>
  <c r="G12" i="35"/>
  <c r="G9" i="42"/>
  <c r="G11" i="42"/>
  <c r="G13" i="42"/>
  <c r="G10" i="42"/>
  <c r="G12" i="42"/>
  <c r="G14" i="42"/>
  <c r="G12" i="34"/>
  <c r="G13"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S67" i="6"/>
  <c r="P67" i="6"/>
  <c r="M67" i="6"/>
  <c r="U67" i="6"/>
  <c r="V67" i="6"/>
  <c r="M160" i="6"/>
  <c r="U160" i="6"/>
  <c r="R160" i="6"/>
  <c r="L160" i="6"/>
  <c r="O160" i="6"/>
  <c r="T160" i="6"/>
  <c r="K70" i="6"/>
  <c r="O70" i="6"/>
  <c r="L70" i="6"/>
  <c r="P70" i="6"/>
  <c r="T70" i="6"/>
  <c r="Q70" i="6"/>
  <c r="U70" i="6"/>
  <c r="N70" i="6"/>
  <c r="V70" i="6"/>
  <c r="P66" i="6"/>
  <c r="Q157" i="6"/>
  <c r="P157" i="6"/>
  <c r="T157" i="6"/>
  <c r="G11" i="34" l="1"/>
  <c r="G10" i="34"/>
  <c r="G10" i="23"/>
  <c r="G13" i="18"/>
  <c r="G12" i="18"/>
  <c r="G13" i="40"/>
  <c r="G13" i="30"/>
  <c r="G12" i="30"/>
  <c r="G10" i="19"/>
  <c r="G13" i="16"/>
  <c r="G9" i="34"/>
  <c r="G13" i="23"/>
  <c r="G11" i="18"/>
  <c r="G10" i="18"/>
  <c r="G14" i="40"/>
  <c r="G11" i="40"/>
  <c r="G11" i="30"/>
  <c r="G10" i="30"/>
  <c r="G13" i="19"/>
  <c r="G13" i="26"/>
  <c r="G14" i="16"/>
  <c r="G11" i="16"/>
  <c r="G14" i="23"/>
  <c r="G12" i="40"/>
  <c r="G14" i="19"/>
  <c r="G12" i="16"/>
  <c r="G12" i="33"/>
  <c r="G11" i="39"/>
  <c r="G10" i="28"/>
  <c r="G14" i="22"/>
  <c r="G9" i="33"/>
  <c r="G10" i="39"/>
  <c r="G12" i="24"/>
  <c r="G14" i="35"/>
  <c r="G11" i="35"/>
  <c r="G13" i="20"/>
  <c r="G12" i="20"/>
  <c r="G9" i="37"/>
  <c r="G10" i="31"/>
  <c r="G13" i="37"/>
  <c r="G12" i="37"/>
  <c r="G14" i="31"/>
  <c r="G11" i="31"/>
  <c r="G11" i="37"/>
  <c r="G12" i="31"/>
  <c r="G13" i="22"/>
  <c r="G12" i="22"/>
  <c r="G10" i="33"/>
  <c r="G9" i="39"/>
  <c r="G9" i="28"/>
  <c r="G10" i="24"/>
  <c r="G11" i="22"/>
  <c r="G10" i="22"/>
  <c r="G13" i="33"/>
  <c r="G14" i="39"/>
  <c r="G14" i="28"/>
  <c r="G13" i="24"/>
  <c r="G14" i="33"/>
  <c r="G13" i="39"/>
  <c r="G13" i="28"/>
  <c r="G14" i="24"/>
  <c r="G89" i="3"/>
  <c r="E106" i="3" s="1"/>
  <c r="H106" i="3" s="1"/>
  <c r="G88" i="3"/>
  <c r="E105" i="3" s="1"/>
  <c r="H105" i="3" s="1"/>
  <c r="G33" i="3"/>
  <c r="E43" i="3" s="1"/>
  <c r="H43" i="3" s="1"/>
  <c r="D112" i="3" s="1"/>
  <c r="G87" i="3"/>
  <c r="E104" i="3" s="1"/>
  <c r="H104" i="3" s="1"/>
  <c r="E113" i="3" s="1"/>
  <c r="G37" i="3"/>
  <c r="E47" i="3" s="1"/>
  <c r="H47" i="3" s="1"/>
  <c r="G86" i="3"/>
  <c r="E103" i="3" s="1"/>
  <c r="H103" i="3" s="1"/>
  <c r="E112" i="3" s="1"/>
  <c r="G36" i="3"/>
  <c r="E46" i="3" s="1"/>
  <c r="H46" i="3" s="1"/>
  <c r="G35" i="3"/>
  <c r="E45" i="3" s="1"/>
  <c r="H45" i="3" s="1"/>
  <c r="G90" i="3"/>
  <c r="E107" i="3" s="1"/>
  <c r="H107" i="3" s="1"/>
  <c r="G34" i="3"/>
  <c r="E44" i="3" s="1"/>
  <c r="H44" i="3" s="1"/>
  <c r="D113" i="3" s="1"/>
  <c r="L66" i="6"/>
  <c r="P160" i="6"/>
  <c r="S160" i="6"/>
  <c r="F160" i="6" s="1"/>
  <c r="C175" i="6" s="1"/>
  <c r="G175" i="6" s="1"/>
  <c r="D184" i="6" s="1"/>
  <c r="K160" i="6"/>
  <c r="V160" i="6"/>
  <c r="N160" i="6"/>
  <c r="N67" i="6"/>
  <c r="R67" i="6"/>
  <c r="Q67" i="6"/>
  <c r="F67" i="6" s="1"/>
  <c r="C82" i="6" s="1"/>
  <c r="G82" i="6" s="1"/>
  <c r="C182" i="6" s="1"/>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112" i="3" l="1"/>
  <c r="G112" i="3" s="1"/>
  <c r="F113" i="3"/>
  <c r="G113" i="3"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2" i="6"/>
  <c r="F182"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<sst xmlns="http://schemas.openxmlformats.org/spreadsheetml/2006/main" count="1225" uniqueCount="432">
  <si>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</si>
  <si>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</si>
  <si>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</si>
  <si>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</si>
  <si>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</si>
  <si>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</si>
  <si>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</si>
  <si>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</si>
  <si>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</si>
  <si>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</si>
  <si>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</si>
  <si>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</si>
  <si>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</si>
  <si>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</si>
  <si>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</si>
  <si>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</si>
  <si>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</si>
  <si>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</si>
  <si>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</si>
  <si>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</si>
  <si>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</si>
  <si>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</si>
  <si>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</si>
  <si>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</si>
  <si>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</si>
  <si>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</si>
  <si>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</si>
  <si>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</si>
  <si>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</si>
  <si>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</si>
  <si>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</si>
  <si>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</si>
  <si>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</si>
  <si>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</si>
  <si>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</si>
  <si>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</si>
  <si>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</si>
  <si>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</si>
  <si>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</si>
  <si>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</si>
  <si>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</si>
  <si>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</si>
  <si>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</si>
  <si>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</si>
  <si>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</si>
  <si>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</si>
  <si>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</si>
  <si>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</si>
  <si>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</si>
  <si>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</si>
  <si>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</si>
  <si>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</si>
  <si>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</si>
  <si>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</si>
  <si>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</si>
  <si>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</si>
  <si>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</si>
  <si>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</si>
  <si>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</si>
  <si>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</si>
  <si>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</si>
  <si>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</si>
  <si>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</si>
  <si>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</si>
  <si>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</si>
  <si>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</si>
  <si>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</si>
  <si>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</si>
  <si>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</si>
  <si>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</si>
  <si>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</si>
  <si>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</si>
  <si>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</si>
  <si>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</si>
  <si>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</si>
  <si>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</si>
  <si>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</si>
  <si>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</si>
  <si>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</si>
  <si>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</si>
  <si>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</si>
  <si>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</si>
  <si>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</si>
  <si>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</si>
  <si>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</si>
  <si>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</si>
  <si>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</si>
  <si>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</si>
  <si>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</si>
  <si>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</si>
  <si>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</si>
  <si>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</si>
  <si>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</si>
  <si>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</si>
  <si>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</si>
  <si>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</si>
  <si>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</si>
  <si>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</si>
  <si>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</si>
  <si>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</si>
  <si>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</si>
  <si>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</si>
  <si>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</si>
  <si>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</si>
  <si>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</si>
  <si>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</si>
  <si>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</si>
  <si>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</si>
  <si>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</si>
  <si>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</si>
  <si>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</si>
  <si>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</si>
  <si>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</si>
  <si>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</si>
  <si>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</si>
  <si>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</si>
  <si>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</si>
  <si>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</si>
  <si>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</si>
  <si>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</si>
  <si>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</si>
  <si>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</si>
  <si>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</si>
  <si>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</si>
  <si>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</si>
  <si>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</si>
  <si>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</si>
  <si>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</si>
  <si>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</si>
  <si>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</si>
  <si>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</si>
  <si>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</si>
  <si>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</si>
  <si>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</si>
  <si>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</si>
  <si>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</si>
  <si>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</si>
  <si>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</si>
  <si>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</si>
  <si>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</si>
  <si>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</si>
  <si>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</si>
  <si>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</si>
  <si>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</si>
  <si>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</si>
  <si>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</si>
  <si>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</si>
  <si>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</si>
  <si>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</si>
  <si>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</si>
  <si>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</si>
  <si>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</si>
  <si>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</si>
  <si>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</si>
  <si>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</si>
  <si>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</si>
  <si>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</si>
  <si>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</si>
  <si>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</si>
  <si>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</si>
  <si>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</si>
  <si>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</si>
  <si>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</si>
  <si>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</si>
  <si>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</si>
  <si>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</si>
  <si>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</si>
  <si>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</si>
  <si>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</si>
  <si>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</si>
  <si>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</si>
  <si>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</si>
  <si>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</si>
  <si>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</si>
  <si>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</si>
  <si>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</si>
  <si>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</si>
  <si>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</si>
  <si>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</si>
  <si>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</si>
  <si>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</si>
  <si>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</si>
  <si>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</si>
  <si>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</si>
  <si>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</si>
  <si>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</si>
  <si>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</si>
  <si>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</si>
  <si>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</si>
  <si>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</si>
  <si>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</si>
  <si>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</si>
  <si>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</si>
  <si>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</si>
  <si>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</si>
  <si>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</si>
  <si>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</si>
  <si>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</si>
  <si>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</si>
  <si>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</si>
  <si>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</si>
  <si>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</si>
  <si>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</si>
  <si>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</si>
  <si>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</si>
  <si>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</si>
  <si>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</si>
  <si>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</si>
  <si>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</si>
  <si>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</si>
  <si>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</si>
  <si>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</si>
  <si>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</si>
  <si>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</si>
  <si>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</si>
  <si>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</si>
  <si>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</si>
  <si>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</si>
  <si>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</si>
  <si>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</si>
  <si>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</si>
  <si>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</si>
  <si>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</si>
  <si>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</si>
  <si>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</si>
  <si>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</si>
  <si>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</si>
  <si>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</si>
  <si>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</si>
  <si>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</si>
  <si>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</si>
  <si>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</si>
  <si>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</si>
  <si>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</si>
  <si>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</si>
  <si>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</si>
  <si>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</si>
  <si>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</si>
  <si>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</si>
  <si>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</si>
  <si>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</si>
  <si>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</si>
  <si>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</si>
  <si>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</si>
  <si>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</si>
  <si>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</si>
  <si>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</si>
  <si>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</si>
  <si>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</si>
  <si>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</si>
  <si>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</si>
  <si>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</si>
  <si>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</si>
  <si>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</si>
  <si>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</si>
  <si>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</si>
  <si>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</si>
  <si>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</si>
  <si>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</si>
  <si>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</si>
  <si>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</si>
  <si>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</si>
  <si>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</si>
  <si>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</si>
  <si>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</si>
  <si>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</si>
  <si>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</si>
  <si>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</si>
  <si>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</si>
  <si>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</si>
  <si>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</si>
  <si>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</si>
  <si>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</si>
  <si>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</si>
  <si>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</si>
  <si>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</si>
  <si>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</si>
  <si>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</si>
  <si>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</si>
  <si>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</si>
  <si>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</si>
  <si>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</si>
  <si>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</si>
  <si>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</si>
  <si>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</si>
  <si>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</si>
  <si>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</si>
  <si>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</si>
  <si>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</si>
  <si>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</si>
  <si>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</si>
  <si>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</si>
  <si>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</si>
  <si>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</si>
  <si>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</si>
  <si>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</si>
  <si>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</si>
  <si>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</si>
  <si>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</si>
  <si>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</si>
  <si>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</si>
  <si>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</si>
  <si>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</si>
  <si>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</si>
  <si>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</si>
  <si>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</si>
  <si>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</si>
  <si>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</si>
  <si>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</si>
  <si>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</si>
  <si>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</si>
  <si>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</si>
  <si>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</si>
  <si>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</si>
  <si>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</si>
  <si>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</si>
  <si>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</si>
  <si>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</si>
  <si>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</si>
  <si>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</si>
  <si>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</si>
  <si>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</si>
  <si>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</si>
  <si>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</si>
  <si>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</si>
  <si>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</si>
  <si>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</si>
  <si>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</si>
  <si>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</si>
  <si>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</si>
  <si>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</si>
  <si>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</si>
  <si>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</si>
  <si>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</si>
  <si>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</si>
  <si>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</si>
  <si>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</si>
  <si>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</si>
  <si>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</si>
  <si>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</si>
  <si>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</si>
  <si>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</si>
  <si>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</si>
  <si>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</si>
  <si>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</si>
  <si>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</si>
  <si>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</si>
  <si>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</si>
  <si>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</si>
  <si>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</si>
  <si>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</si>
  <si>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</si>
  <si>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</si>
  <si>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</si>
  <si>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</si>
  <si>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</si>
  <si>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</si>
  <si>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</si>
  <si>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</si>
  <si>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</si>
  <si>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</si>
  <si>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</si>
  <si>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</si>
  <si>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</si>
  <si>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</si>
  <si>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</si>
  <si>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</si>
  <si>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</si>
  <si>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</si>
  <si>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</si>
  <si>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</si>
  <si>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</si>
  <si>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</si>
  <si>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</si>
  <si>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</si>
  <si>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</si>
  <si>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</si>
  <si>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</si>
  <si>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</si>
  <si>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</si>
  <si>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</si>
  <si>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</si>
  <si>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</si>
  <si>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</si>
  <si>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</si>
  <si>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</si>
  <si>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</si>
  <si>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</si>
  <si>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</si>
  <si>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</si>
  <si>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</si>
  <si>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</si>
  <si>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</si>
  <si>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</si>
  <si>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</si>
  <si>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</si>
  <si>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</si>
  <si>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</si>
  <si>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</si>
  <si>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</si>
  <si>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</si>
  <si>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</si>
  <si>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</si>
  <si>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</si>
  <si>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</si>
  <si>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</si>
  <si>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</si>
  <si>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</si>
  <si>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</si>
  <si>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</si>
  <si>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</si>
  <si>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</si>
  <si>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</si>
  <si>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</si>
  <si>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</si>
  <si>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</si>
  <si>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</si>
  <si>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</si>
  <si>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</si>
  <si>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to an undeveloped area along U.S. Route 20 and flows overland and across the interstate to an outfall ditch.</t>
  </si>
  <si>
    <t>Lexington County I-20 Widening - Outfall #5</t>
  </si>
  <si>
    <t xml:space="preserve">The proposed construction within the watershed includes pavement addition and drainage reconstruction. The proposed construction results in an increase in impervious area as a result of the addition of traffic lanes on I-20 and drains to Outfall #5. </t>
  </si>
  <si>
    <t>The increased flows are a result of the proposed addition of pavement and will drain to Outfall #5.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</si>
  <si>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#5 is approximately 16 acres. The existing watershed includes, residential areas, large grassed areas and undeveloped areas adjacent to U.S. Route 20. The soils in the watershed are classified as Hydrologic Soil Group C so as to be conservative in design.</t>
  </si>
  <si>
    <t>Outfall #12 [Rt.] Sta.445+00 (I-20)</t>
  </si>
  <si>
    <t>[Outfall ditch]</t>
  </si>
  <si>
    <t>8/31/2015</t>
  </si>
  <si>
    <t>Sta. 445+00</t>
  </si>
  <si>
    <t xml:space="preserve">The proposed construction within the watershed includes pavement addition. The proposed construction results in an increase in impervious area as a result of the addition of traffic lanes on I-20 and drains to Outfall #12. </t>
  </si>
  <si>
    <t>Runoff from the existing watershed flows overland to a crossing at Sta. 445+00 under I-20 and discharges into an outfall ditch that runs along Railroad Avenue off I-20.</t>
  </si>
  <si>
    <t xml:space="preserve">The additional 2.22 cfs runoff for the 10-year design storm will be collected by an outfall ditch at Sta. 445+00.  The additional pavement will have no significant adverse effect downstream of the outfall.  No additional detention is necessary in this area.  </t>
  </si>
  <si>
    <t>The widening will take place from U.S. Route 378 to Longs Pond Road which is approximately 14 miles. The existing watersheds along the interstate are primarily developed areas along with large wooded areas. The total drainage area to Outfall #12 is approximately 45 acres. The existing watershed includes, residential areas, large grassed areas and undeveloped areas adjacent to I-20.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</si>
</sst>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6">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49" fontId="4" fillId="3" borderId="0" xfId="0" applyNumberFormat="1" applyFont="1" applyFill="1" applyAlignment="1" applyProtection="1">
      <alignment horizontal="center"/>
      <protection locked="0"/>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3" borderId="0" xfId="0" applyFont="1" applyFill="1" applyAlignment="1" applyProtection="1">
      <alignment horizontal="left"/>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49658624"/>
        <c:axId val="150049920"/>
      </c:scatterChart>
      <c:valAx>
        <c:axId val="14965862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0049920"/>
        <c:crosses val="autoZero"/>
        <c:crossBetween val="midCat"/>
      </c:valAx>
      <c:valAx>
        <c:axId val="15004992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4965862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52340736"/>
        <c:axId val="152359296"/>
      </c:scatterChart>
      <c:valAx>
        <c:axId val="15234073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2359296"/>
        <c:crosses val="autoZero"/>
        <c:crossBetween val="midCat"/>
      </c:valAx>
      <c:valAx>
        <c:axId val="15235929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234073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52793856"/>
        <c:axId val="152795776"/>
      </c:scatterChart>
      <c:valAx>
        <c:axId val="15279385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2795776"/>
        <c:crosses val="autoZero"/>
        <c:crossBetween val="midCat"/>
      </c:valAx>
      <c:valAx>
        <c:axId val="15279577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279385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54630400"/>
        <c:axId val="154632576"/>
      </c:scatterChart>
      <c:valAx>
        <c:axId val="15463040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4632576"/>
        <c:crosses val="autoZero"/>
        <c:crossBetween val="midCat"/>
      </c:valAx>
      <c:valAx>
        <c:axId val="15463257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463040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251460</xdr:colOff>
          <xdr:row>9</xdr:row>
          <xdr:rowOff>60960</xdr:rowOff>
        </xdr:from>
        <xdr:to>
          <xdr:col>5</xdr:col>
          <xdr:colOff>426720</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3.2" x14ac:dyDescent="0.25"/>
  <cols>
    <col min="1" max="1" width="15.88671875" bestFit="1" customWidth="1"/>
    <col min="2" max="2" width="12" bestFit="1" customWidth="1"/>
  </cols>
  <sheetData>
    <row r="1" spans="1:11" x14ac:dyDescent="0.25">
      <c r="A1" t="s">
        <v>142</v>
      </c>
      <c r="B1" t="s">
        <v>141</v>
      </c>
      <c r="K1" t="s">
        <v>414</v>
      </c>
    </row>
    <row r="2" spans="1:11" x14ac:dyDescent="0.25">
      <c r="A2" s="3" t="s">
        <v>143</v>
      </c>
      <c r="K2" t="s">
        <v>415</v>
      </c>
    </row>
    <row r="3" spans="1:11" x14ac:dyDescent="0.25">
      <c r="A3" s="3" t="s">
        <v>144</v>
      </c>
    </row>
    <row r="4" spans="1:11" x14ac:dyDescent="0.25">
      <c r="A4" s="3" t="s">
        <v>145</v>
      </c>
    </row>
    <row r="5" spans="1:11" x14ac:dyDescent="0.25">
      <c r="A5" s="3" t="s">
        <v>146</v>
      </c>
    </row>
    <row r="6" spans="1:11" x14ac:dyDescent="0.25">
      <c r="A6" s="3" t="s">
        <v>147</v>
      </c>
    </row>
    <row r="7" spans="1:11" x14ac:dyDescent="0.25">
      <c r="A7" s="3" t="s">
        <v>148</v>
      </c>
    </row>
    <row r="8" spans="1:11" x14ac:dyDescent="0.25">
      <c r="A8" s="3" t="s">
        <v>149</v>
      </c>
    </row>
    <row r="9" spans="1:11" x14ac:dyDescent="0.25">
      <c r="A9" s="3" t="s">
        <v>150</v>
      </c>
    </row>
    <row r="10" spans="1:11" x14ac:dyDescent="0.25">
      <c r="A10" s="3" t="s">
        <v>151</v>
      </c>
    </row>
    <row r="11" spans="1:11" x14ac:dyDescent="0.25">
      <c r="A11" s="3" t="s">
        <v>152</v>
      </c>
    </row>
    <row r="12" spans="1:11" x14ac:dyDescent="0.25">
      <c r="A12" s="3" t="s">
        <v>153</v>
      </c>
    </row>
    <row r="13" spans="1:11" x14ac:dyDescent="0.25">
      <c r="A13" s="3" t="s">
        <v>154</v>
      </c>
    </row>
    <row r="14" spans="1:11" x14ac:dyDescent="0.25">
      <c r="A14" s="3" t="s">
        <v>155</v>
      </c>
    </row>
    <row r="15" spans="1:11" x14ac:dyDescent="0.25">
      <c r="A15" s="3" t="s">
        <v>156</v>
      </c>
    </row>
    <row r="16" spans="1:11" x14ac:dyDescent="0.25">
      <c r="A16" s="3" t="s">
        <v>157</v>
      </c>
    </row>
    <row r="17" spans="1:1" x14ac:dyDescent="0.25">
      <c r="A17" s="3" t="s">
        <v>158</v>
      </c>
    </row>
    <row r="18" spans="1:1" x14ac:dyDescent="0.25">
      <c r="A18" s="3" t="s">
        <v>159</v>
      </c>
    </row>
    <row r="19" spans="1:1" x14ac:dyDescent="0.25">
      <c r="A19" s="3" t="s">
        <v>160</v>
      </c>
    </row>
    <row r="20" spans="1:1" x14ac:dyDescent="0.25">
      <c r="A20" s="3" t="s">
        <v>161</v>
      </c>
    </row>
    <row r="21" spans="1:1" x14ac:dyDescent="0.25">
      <c r="A21" s="3" t="s">
        <v>162</v>
      </c>
    </row>
    <row r="22" spans="1:1" x14ac:dyDescent="0.25">
      <c r="A22" s="3" t="s">
        <v>163</v>
      </c>
    </row>
    <row r="23" spans="1:1" x14ac:dyDescent="0.25">
      <c r="A23" s="3" t="s">
        <v>164</v>
      </c>
    </row>
    <row r="24" spans="1:1" x14ac:dyDescent="0.25">
      <c r="A24" s="3" t="s">
        <v>165</v>
      </c>
    </row>
    <row r="25" spans="1:1" x14ac:dyDescent="0.25">
      <c r="A25" s="3" t="s">
        <v>173</v>
      </c>
    </row>
    <row r="26" spans="1:1" x14ac:dyDescent="0.25">
      <c r="A26" s="3" t="s">
        <v>166</v>
      </c>
    </row>
    <row r="27" spans="1:1" x14ac:dyDescent="0.25">
      <c r="A27" s="3" t="s">
        <v>167</v>
      </c>
    </row>
    <row r="28" spans="1:1" x14ac:dyDescent="0.25">
      <c r="A28" s="3" t="s">
        <v>168</v>
      </c>
    </row>
    <row r="29" spans="1:1" x14ac:dyDescent="0.25">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249.29889</v>
      </c>
      <c r="C9" s="30">
        <v>34.174900000000001</v>
      </c>
      <c r="D9" s="30">
        <v>1.02668</v>
      </c>
      <c r="E9" s="29"/>
      <c r="F9" s="29"/>
      <c r="G9" s="9">
        <f t="shared" ref="G9:G14" si="0">B9/(C9+$D$4)^D9</f>
        <v>1.8593877262675</v>
      </c>
      <c r="H9" s="9">
        <f t="shared" ref="H9:H14" si="1">B9/(C9+$D$5)^D9</f>
        <v>1.8593877262675</v>
      </c>
      <c r="J9" s="29"/>
      <c r="K9" s="29"/>
      <c r="L9" s="30"/>
    </row>
    <row r="10" spans="1:12" x14ac:dyDescent="0.25">
      <c r="A10" s="31">
        <v>5</v>
      </c>
      <c r="B10" s="34">
        <v>261.13655</v>
      </c>
      <c r="C10" s="30">
        <v>32.358699999999999</v>
      </c>
      <c r="D10" s="30">
        <v>1.01519</v>
      </c>
      <c r="E10" s="29"/>
      <c r="F10" s="29"/>
      <c r="G10" s="9">
        <f t="shared" si="0"/>
        <v>2.0900715135984731</v>
      </c>
      <c r="H10" s="9">
        <f t="shared" si="1"/>
        <v>2.0900715135984731</v>
      </c>
      <c r="J10" s="29"/>
      <c r="K10" s="29"/>
      <c r="L10" s="30"/>
    </row>
    <row r="11" spans="1:12" x14ac:dyDescent="0.25">
      <c r="A11" s="31">
        <v>10</v>
      </c>
      <c r="B11" s="34">
        <v>269.52906000000002</v>
      </c>
      <c r="C11" s="30">
        <v>31.104620000000001</v>
      </c>
      <c r="D11" s="30">
        <v>1.0071399999999999</v>
      </c>
      <c r="E11" s="29"/>
      <c r="F11" s="29"/>
      <c r="G11" s="35">
        <f t="shared" si="0"/>
        <v>2.266051779970061</v>
      </c>
      <c r="H11" s="118">
        <f t="shared" si="1"/>
        <v>2.266051779970061</v>
      </c>
      <c r="J11" s="29"/>
      <c r="K11" s="29"/>
      <c r="L11" s="30"/>
    </row>
    <row r="12" spans="1:12" x14ac:dyDescent="0.25">
      <c r="A12" s="31">
        <v>25</v>
      </c>
      <c r="B12" s="34">
        <v>281.11392999999998</v>
      </c>
      <c r="C12" s="30">
        <v>29.392219999999998</v>
      </c>
      <c r="D12" s="30">
        <v>0.99607000000000001</v>
      </c>
      <c r="E12" s="29"/>
      <c r="F12" s="29"/>
      <c r="G12" s="9">
        <f t="shared" si="0"/>
        <v>2.5284168822975617</v>
      </c>
      <c r="H12" s="9">
        <f t="shared" si="1"/>
        <v>2.5284168822975617</v>
      </c>
      <c r="J12" s="29"/>
      <c r="K12" s="29"/>
      <c r="L12" s="30"/>
    </row>
    <row r="13" spans="1:12" x14ac:dyDescent="0.25">
      <c r="A13" s="31">
        <v>50</v>
      </c>
      <c r="B13" s="34">
        <v>289.29525999999998</v>
      </c>
      <c r="C13" s="30">
        <v>28.173349999999999</v>
      </c>
      <c r="D13" s="30">
        <v>0.98823000000000005</v>
      </c>
      <c r="E13" s="29"/>
      <c r="F13" s="29"/>
      <c r="G13" s="9">
        <f t="shared" si="0"/>
        <v>2.729325137743785</v>
      </c>
      <c r="H13" s="9">
        <f t="shared" si="1"/>
        <v>2.729325137743785</v>
      </c>
    </row>
    <row r="14" spans="1:12" x14ac:dyDescent="0.25">
      <c r="A14" s="31">
        <v>100</v>
      </c>
      <c r="B14" s="34">
        <v>296.80041999999997</v>
      </c>
      <c r="C14" s="30">
        <v>27.025970000000001</v>
      </c>
      <c r="D14" s="30">
        <v>0.98097000000000001</v>
      </c>
      <c r="E14" s="29"/>
      <c r="F14" s="29"/>
      <c r="G14" s="9">
        <f t="shared" si="0"/>
        <v>2.9271312783278649</v>
      </c>
      <c r="H14" s="9">
        <f t="shared" si="1"/>
        <v>2.9271312783278649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7.2764880427313479</v>
      </c>
      <c r="C19" s="30">
        <f t="shared" ref="C19:C26" si="2">A19/60</f>
        <v>8.3333333333333329E-2</v>
      </c>
      <c r="F19" s="29"/>
      <c r="G19" s="29"/>
      <c r="H19" s="29"/>
    </row>
    <row r="20" spans="1:8" x14ac:dyDescent="0.25">
      <c r="A20" s="29">
        <v>10</v>
      </c>
      <c r="B20" s="29">
        <f t="shared" ref="B20:B26" si="3">$B$11/($C$11+A20)^$D$11</f>
        <v>6.3854539888732011</v>
      </c>
      <c r="C20" s="30">
        <f t="shared" si="2"/>
        <v>0.16666666666666666</v>
      </c>
      <c r="F20" s="29"/>
      <c r="G20" s="29"/>
      <c r="H20" s="29"/>
    </row>
    <row r="21" spans="1:8" x14ac:dyDescent="0.25">
      <c r="A21" s="29">
        <v>30</v>
      </c>
      <c r="B21" s="29">
        <f t="shared" si="3"/>
        <v>4.2833048043857378</v>
      </c>
      <c r="C21" s="30">
        <f t="shared" si="2"/>
        <v>0.5</v>
      </c>
      <c r="F21" s="29"/>
      <c r="G21" s="29"/>
      <c r="H21" s="29"/>
    </row>
    <row r="22" spans="1:8" x14ac:dyDescent="0.25">
      <c r="A22" s="29">
        <v>60</v>
      </c>
      <c r="B22" s="29">
        <f t="shared" si="3"/>
        <v>2.8646665517230274</v>
      </c>
      <c r="C22" s="30">
        <f t="shared" si="2"/>
        <v>1</v>
      </c>
      <c r="F22" s="29"/>
      <c r="G22" s="29"/>
      <c r="H22" s="29"/>
    </row>
    <row r="23" spans="1:8" x14ac:dyDescent="0.25">
      <c r="A23" s="29">
        <v>180</v>
      </c>
      <c r="B23" s="29">
        <f t="shared" si="3"/>
        <v>1.2288841560743486</v>
      </c>
      <c r="C23" s="30">
        <f t="shared" si="2"/>
        <v>3</v>
      </c>
      <c r="F23" s="29"/>
      <c r="G23" s="29"/>
      <c r="H23" s="29"/>
    </row>
    <row r="24" spans="1:8" x14ac:dyDescent="0.25">
      <c r="A24" s="29">
        <v>360</v>
      </c>
      <c r="B24" s="29">
        <f t="shared" si="3"/>
        <v>0.66039485159673483</v>
      </c>
      <c r="C24" s="30">
        <f t="shared" si="2"/>
        <v>6</v>
      </c>
      <c r="F24" s="29"/>
      <c r="G24" s="33"/>
      <c r="H24" s="33"/>
    </row>
    <row r="25" spans="1:8" x14ac:dyDescent="0.25">
      <c r="A25" s="29">
        <v>840</v>
      </c>
      <c r="B25" s="29">
        <f t="shared" si="3"/>
        <v>0.29481065626438674</v>
      </c>
      <c r="C25" s="30">
        <f t="shared" si="2"/>
        <v>14</v>
      </c>
      <c r="F25" s="29"/>
      <c r="G25" s="9"/>
      <c r="H25" s="9"/>
    </row>
    <row r="26" spans="1:8" x14ac:dyDescent="0.25">
      <c r="A26" s="29">
        <v>1440</v>
      </c>
      <c r="B26" s="29">
        <f t="shared" si="3"/>
        <v>0.17391821214367048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243.45839000000001</v>
      </c>
      <c r="C9" s="30">
        <v>35.099879999999999</v>
      </c>
      <c r="D9" s="30">
        <v>1.0324199999999999</v>
      </c>
      <c r="E9" s="29"/>
      <c r="F9" s="29"/>
      <c r="G9" s="9">
        <f t="shared" ref="G9:G14" si="0">B9/(C9+$D$4)^D9</f>
        <v>1.7525933690486013</v>
      </c>
      <c r="H9" s="9">
        <f t="shared" ref="H9:H14" si="1">B9/(C9+$D$5)^D9</f>
        <v>1.7525933690486013</v>
      </c>
      <c r="J9" s="29"/>
      <c r="K9" s="29"/>
      <c r="L9" s="30"/>
    </row>
    <row r="10" spans="1:12" x14ac:dyDescent="0.25">
      <c r="A10" s="31">
        <v>5</v>
      </c>
      <c r="B10" s="34">
        <v>257.07785999999999</v>
      </c>
      <c r="C10" s="30">
        <v>32.97428</v>
      </c>
      <c r="D10" s="30">
        <v>1.01911</v>
      </c>
      <c r="E10" s="29"/>
      <c r="F10" s="29"/>
      <c r="G10" s="9">
        <f t="shared" si="0"/>
        <v>2.0087423939079554</v>
      </c>
      <c r="H10" s="9">
        <f t="shared" si="1"/>
        <v>2.0087423939079554</v>
      </c>
      <c r="J10" s="29"/>
      <c r="K10" s="29"/>
      <c r="L10" s="30"/>
    </row>
    <row r="11" spans="1:12" x14ac:dyDescent="0.25">
      <c r="A11" s="31">
        <v>10</v>
      </c>
      <c r="B11" s="34">
        <v>266.55779000000001</v>
      </c>
      <c r="C11" s="30">
        <v>31.546500000000002</v>
      </c>
      <c r="D11" s="30">
        <v>1.0099800000000001</v>
      </c>
      <c r="E11" s="29"/>
      <c r="F11" s="29"/>
      <c r="G11" s="35">
        <f t="shared" si="0"/>
        <v>2.202525678733013</v>
      </c>
      <c r="H11" s="118">
        <f t="shared" si="1"/>
        <v>2.202525678733013</v>
      </c>
      <c r="J11" s="29"/>
      <c r="K11" s="29"/>
      <c r="L11" s="30"/>
    </row>
    <row r="12" spans="1:12" x14ac:dyDescent="0.25">
      <c r="A12" s="31">
        <v>25</v>
      </c>
      <c r="B12" s="34">
        <v>278.96244000000002</v>
      </c>
      <c r="C12" s="30">
        <v>29.710239999999999</v>
      </c>
      <c r="D12" s="30">
        <v>0.99812999999999996</v>
      </c>
      <c r="E12" s="29"/>
      <c r="F12" s="29"/>
      <c r="G12" s="9">
        <f t="shared" si="0"/>
        <v>2.4777940917793879</v>
      </c>
      <c r="H12" s="9">
        <f t="shared" si="1"/>
        <v>2.4777940917793879</v>
      </c>
      <c r="J12" s="29"/>
      <c r="K12" s="29"/>
      <c r="L12" s="30"/>
    </row>
    <row r="13" spans="1:12" x14ac:dyDescent="0.25">
      <c r="A13" s="31">
        <v>50</v>
      </c>
      <c r="B13" s="34">
        <v>287.88720999999998</v>
      </c>
      <c r="C13" s="30">
        <v>28.385120000000001</v>
      </c>
      <c r="D13" s="30">
        <v>0.98958999999999997</v>
      </c>
      <c r="E13" s="29"/>
      <c r="F13" s="29"/>
      <c r="G13" s="9">
        <f t="shared" si="0"/>
        <v>2.6936281235246011</v>
      </c>
      <c r="H13" s="9">
        <f t="shared" si="1"/>
        <v>2.6936281235246011</v>
      </c>
    </row>
    <row r="14" spans="1:12" x14ac:dyDescent="0.25">
      <c r="A14" s="31">
        <v>100</v>
      </c>
      <c r="B14" s="34">
        <v>295.79777999999999</v>
      </c>
      <c r="C14" s="30">
        <v>27.182759999999998</v>
      </c>
      <c r="D14" s="30">
        <v>0.98194999999999999</v>
      </c>
      <c r="E14" s="29"/>
      <c r="F14" s="29"/>
      <c r="G14" s="9">
        <f t="shared" si="0"/>
        <v>2.899786834045126</v>
      </c>
      <c r="H14" s="9">
        <f t="shared" si="1"/>
        <v>2.899786834045126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7.0363654337220325</v>
      </c>
      <c r="C19" s="30">
        <f t="shared" ref="C19:C26" si="2">A19/60</f>
        <v>8.3333333333333329E-2</v>
      </c>
      <c r="F19" s="29"/>
      <c r="G19" s="29"/>
      <c r="H19" s="29"/>
    </row>
    <row r="20" spans="1:8" x14ac:dyDescent="0.25">
      <c r="A20" s="29">
        <v>10</v>
      </c>
      <c r="B20" s="29">
        <f t="shared" ref="B20:B26" si="3">$B$11/($C$11+A20)^$D$11</f>
        <v>6.1816435930704063</v>
      </c>
      <c r="C20" s="30">
        <f t="shared" si="2"/>
        <v>0.16666666666666666</v>
      </c>
      <c r="F20" s="29"/>
      <c r="G20" s="29"/>
      <c r="H20" s="29"/>
    </row>
    <row r="21" spans="1:8" x14ac:dyDescent="0.25">
      <c r="A21" s="29">
        <v>30</v>
      </c>
      <c r="B21" s="29">
        <f t="shared" si="3"/>
        <v>4.1565381296450221</v>
      </c>
      <c r="C21" s="30">
        <f t="shared" si="2"/>
        <v>0.5</v>
      </c>
      <c r="F21" s="29"/>
      <c r="G21" s="29"/>
      <c r="H21" s="29"/>
    </row>
    <row r="22" spans="1:8" x14ac:dyDescent="0.25">
      <c r="A22" s="29">
        <v>60</v>
      </c>
      <c r="B22" s="29">
        <f t="shared" si="3"/>
        <v>2.7833796610781474</v>
      </c>
      <c r="C22" s="30">
        <f t="shared" si="2"/>
        <v>1</v>
      </c>
      <c r="F22" s="29"/>
      <c r="G22" s="29"/>
      <c r="H22" s="29"/>
    </row>
    <row r="23" spans="1:8" x14ac:dyDescent="0.25">
      <c r="A23" s="29">
        <v>180</v>
      </c>
      <c r="B23" s="29">
        <f t="shared" si="3"/>
        <v>1.1944775298015387</v>
      </c>
      <c r="C23" s="30">
        <f t="shared" si="2"/>
        <v>3</v>
      </c>
      <c r="F23" s="29"/>
      <c r="G23" s="29"/>
      <c r="H23" s="29"/>
    </row>
    <row r="24" spans="1:8" x14ac:dyDescent="0.25">
      <c r="A24" s="29">
        <v>360</v>
      </c>
      <c r="B24" s="29">
        <f t="shared" si="3"/>
        <v>0.64140457755287483</v>
      </c>
      <c r="C24" s="30">
        <f t="shared" si="2"/>
        <v>6</v>
      </c>
      <c r="F24" s="29"/>
      <c r="G24" s="33"/>
      <c r="H24" s="33"/>
    </row>
    <row r="25" spans="1:8" x14ac:dyDescent="0.25">
      <c r="A25" s="29">
        <v>840</v>
      </c>
      <c r="B25" s="29">
        <f t="shared" si="3"/>
        <v>0.28586218969490151</v>
      </c>
      <c r="C25" s="30">
        <f t="shared" si="2"/>
        <v>14</v>
      </c>
      <c r="F25" s="29"/>
      <c r="G25" s="9"/>
      <c r="H25" s="9"/>
    </row>
    <row r="26" spans="1:8" x14ac:dyDescent="0.25">
      <c r="A26" s="29">
        <v>1440</v>
      </c>
      <c r="B26" s="29">
        <f t="shared" si="3"/>
        <v>0.16842362269145425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251.98388</v>
      </c>
      <c r="C9" s="30">
        <v>33.756630000000001</v>
      </c>
      <c r="D9" s="30">
        <v>1.0240499999999999</v>
      </c>
      <c r="E9" s="29"/>
      <c r="F9" s="29"/>
      <c r="G9" s="9">
        <f t="shared" ref="G9:G14" si="0">B9/(C9+$D$4)^D9</f>
        <v>1.9100752898465581</v>
      </c>
      <c r="H9" s="9">
        <f t="shared" ref="H9:H14" si="1">B9/(C9+$D$5)^D9</f>
        <v>1.9100752898465581</v>
      </c>
      <c r="J9" s="29"/>
      <c r="K9" s="29"/>
      <c r="L9" s="30"/>
    </row>
    <row r="10" spans="1:12" x14ac:dyDescent="0.25">
      <c r="A10" s="31">
        <v>5</v>
      </c>
      <c r="B10" s="34">
        <v>262.87945999999999</v>
      </c>
      <c r="C10" s="30">
        <v>32.09639</v>
      </c>
      <c r="D10" s="30">
        <v>1.0135099999999999</v>
      </c>
      <c r="E10" s="29"/>
      <c r="F10" s="29"/>
      <c r="G10" s="9">
        <f t="shared" si="0"/>
        <v>2.1257605872683643</v>
      </c>
      <c r="H10" s="9">
        <f t="shared" si="1"/>
        <v>2.1257605872683643</v>
      </c>
      <c r="J10" s="29"/>
      <c r="K10" s="29"/>
      <c r="L10" s="30"/>
    </row>
    <row r="11" spans="1:12" x14ac:dyDescent="0.25">
      <c r="A11" s="31">
        <v>10</v>
      </c>
      <c r="B11" s="34">
        <v>270.85088000000002</v>
      </c>
      <c r="C11" s="30">
        <v>30.90869</v>
      </c>
      <c r="D11" s="30">
        <v>1.00587</v>
      </c>
      <c r="E11" s="29"/>
      <c r="F11" s="29"/>
      <c r="G11" s="35">
        <f t="shared" si="0"/>
        <v>2.2948616373434625</v>
      </c>
      <c r="H11" s="118">
        <f t="shared" si="1"/>
        <v>2.2948616373434625</v>
      </c>
      <c r="J11" s="29"/>
      <c r="K11" s="29"/>
      <c r="L11" s="30"/>
    </row>
    <row r="12" spans="1:12" x14ac:dyDescent="0.25">
      <c r="A12" s="31">
        <v>25</v>
      </c>
      <c r="B12" s="34">
        <v>282.02145000000002</v>
      </c>
      <c r="C12" s="30">
        <v>29.25788</v>
      </c>
      <c r="D12" s="30">
        <v>0.99519999999999997</v>
      </c>
      <c r="E12" s="29"/>
      <c r="F12" s="29"/>
      <c r="G12" s="9">
        <f t="shared" si="0"/>
        <v>2.550048558933284</v>
      </c>
      <c r="H12" s="9">
        <f t="shared" si="1"/>
        <v>2.550048558933284</v>
      </c>
      <c r="J12" s="29"/>
      <c r="K12" s="29"/>
      <c r="L12" s="30"/>
    </row>
    <row r="13" spans="1:12" x14ac:dyDescent="0.25">
      <c r="A13" s="31">
        <v>50</v>
      </c>
      <c r="B13" s="34">
        <v>289.91899000000001</v>
      </c>
      <c r="C13" s="30">
        <v>28.07921</v>
      </c>
      <c r="D13" s="30">
        <v>0.98763000000000001</v>
      </c>
      <c r="E13" s="29"/>
      <c r="F13" s="29"/>
      <c r="G13" s="9">
        <f t="shared" si="0"/>
        <v>2.7452429406655003</v>
      </c>
      <c r="H13" s="9">
        <f t="shared" si="1"/>
        <v>2.7452429406655003</v>
      </c>
    </row>
    <row r="14" spans="1:12" x14ac:dyDescent="0.25">
      <c r="A14" s="31">
        <v>100</v>
      </c>
      <c r="B14" s="34">
        <v>297.13936999999999</v>
      </c>
      <c r="C14" s="30">
        <v>26.972190000000001</v>
      </c>
      <c r="D14" s="30">
        <v>0.98063999999999996</v>
      </c>
      <c r="E14" s="29"/>
      <c r="F14" s="29"/>
      <c r="G14" s="9">
        <f t="shared" si="0"/>
        <v>2.9364275778712252</v>
      </c>
      <c r="H14" s="9">
        <f t="shared" si="1"/>
        <v>2.9364275778712252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7.3858701446500135</v>
      </c>
      <c r="C19" s="30">
        <f t="shared" ref="C19:C26" si="2">A19/60</f>
        <v>8.3333333333333329E-2</v>
      </c>
      <c r="F19" s="29"/>
      <c r="G19" s="29"/>
      <c r="H19" s="29"/>
    </row>
    <row r="20" spans="1:8" x14ac:dyDescent="0.25">
      <c r="A20" s="29">
        <v>10</v>
      </c>
      <c r="B20" s="29">
        <f t="shared" ref="B20:B26" si="3">$B$11/($C$11+A20)^$D$11</f>
        <v>6.478184625171779</v>
      </c>
      <c r="C20" s="30">
        <f t="shared" si="2"/>
        <v>0.16666666666666666</v>
      </c>
      <c r="F20" s="29"/>
      <c r="G20" s="29"/>
      <c r="H20" s="29"/>
    </row>
    <row r="21" spans="1:8" x14ac:dyDescent="0.25">
      <c r="A21" s="29">
        <v>30</v>
      </c>
      <c r="B21" s="29">
        <f t="shared" si="3"/>
        <v>4.3408514580934066</v>
      </c>
      <c r="C21" s="30">
        <f t="shared" si="2"/>
        <v>0.5</v>
      </c>
      <c r="F21" s="29"/>
      <c r="G21" s="29"/>
      <c r="H21" s="29"/>
    </row>
    <row r="22" spans="1:8" x14ac:dyDescent="0.25">
      <c r="A22" s="29">
        <v>60</v>
      </c>
      <c r="B22" s="29">
        <f t="shared" si="3"/>
        <v>2.901535160466282</v>
      </c>
      <c r="C22" s="30">
        <f t="shared" si="2"/>
        <v>1</v>
      </c>
      <c r="F22" s="29"/>
      <c r="G22" s="29"/>
      <c r="H22" s="29"/>
    </row>
    <row r="23" spans="1:8" x14ac:dyDescent="0.25">
      <c r="A23" s="29">
        <v>180</v>
      </c>
      <c r="B23" s="29">
        <f t="shared" si="3"/>
        <v>1.2444955333079537</v>
      </c>
      <c r="C23" s="30">
        <f t="shared" si="2"/>
        <v>3</v>
      </c>
      <c r="F23" s="29"/>
      <c r="G23" s="29"/>
      <c r="H23" s="29"/>
    </row>
    <row r="24" spans="1:8" x14ac:dyDescent="0.25">
      <c r="A24" s="29">
        <v>360</v>
      </c>
      <c r="B24" s="29">
        <f t="shared" si="3"/>
        <v>0.66902052810001988</v>
      </c>
      <c r="C24" s="30">
        <f t="shared" si="2"/>
        <v>6</v>
      </c>
      <c r="F24" s="29"/>
      <c r="G24" s="33"/>
      <c r="H24" s="33"/>
    </row>
    <row r="25" spans="1:8" x14ac:dyDescent="0.25">
      <c r="A25" s="29">
        <v>840</v>
      </c>
      <c r="B25" s="29">
        <f t="shared" si="3"/>
        <v>0.29888215619972147</v>
      </c>
      <c r="C25" s="30">
        <f t="shared" si="2"/>
        <v>14</v>
      </c>
      <c r="F25" s="29"/>
      <c r="G25" s="9"/>
      <c r="H25" s="9"/>
    </row>
    <row r="26" spans="1:8" x14ac:dyDescent="0.25">
      <c r="A26" s="29">
        <v>1440</v>
      </c>
      <c r="B26" s="29">
        <f t="shared" si="3"/>
        <v>0.17642121514773765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246.19054</v>
      </c>
      <c r="C9" s="30">
        <v>34.66534</v>
      </c>
      <c r="D9" s="30">
        <v>1.02973</v>
      </c>
      <c r="E9" s="29"/>
      <c r="F9" s="29"/>
      <c r="G9" s="9">
        <f t="shared" ref="G9:G14" si="0">B9/(C9+$D$4)^D9</f>
        <v>1.8019681188994763</v>
      </c>
      <c r="H9" s="9">
        <f t="shared" ref="H9:H14" si="1">B9/(C9+$D$5)^D9</f>
        <v>1.8019681188994763</v>
      </c>
      <c r="J9" s="29"/>
      <c r="K9" s="29"/>
      <c r="L9" s="30"/>
    </row>
    <row r="10" spans="1:12" x14ac:dyDescent="0.25">
      <c r="A10" s="31">
        <v>5</v>
      </c>
      <c r="B10" s="34">
        <v>261.15915999999999</v>
      </c>
      <c r="C10" s="30">
        <v>32.355730000000001</v>
      </c>
      <c r="D10" s="30">
        <v>1.0151699999999999</v>
      </c>
      <c r="E10" s="29"/>
      <c r="F10" s="29"/>
      <c r="G10" s="9">
        <f t="shared" si="0"/>
        <v>2.0905055228339817</v>
      </c>
      <c r="H10" s="9">
        <f t="shared" si="1"/>
        <v>2.0905055228339817</v>
      </c>
      <c r="J10" s="29"/>
      <c r="K10" s="29"/>
      <c r="L10" s="30"/>
    </row>
    <row r="11" spans="1:12" x14ac:dyDescent="0.25">
      <c r="A11" s="31">
        <v>10</v>
      </c>
      <c r="B11" s="34">
        <v>270.24815000000001</v>
      </c>
      <c r="C11" s="30">
        <v>30.998100000000001</v>
      </c>
      <c r="D11" s="30">
        <v>1.0064500000000001</v>
      </c>
      <c r="E11" s="29"/>
      <c r="F11" s="29"/>
      <c r="G11" s="35">
        <f t="shared" si="0"/>
        <v>2.2816756852369551</v>
      </c>
      <c r="H11" s="118">
        <f t="shared" si="1"/>
        <v>2.2816756852369551</v>
      </c>
      <c r="J11" s="29"/>
      <c r="K11" s="29"/>
      <c r="L11" s="30"/>
    </row>
    <row r="12" spans="1:12" x14ac:dyDescent="0.25">
      <c r="A12" s="31">
        <v>25</v>
      </c>
      <c r="B12" s="34">
        <v>281.57326999999998</v>
      </c>
      <c r="C12" s="30">
        <v>29.324300000000001</v>
      </c>
      <c r="D12" s="30">
        <v>0.99563000000000001</v>
      </c>
      <c r="E12" s="29"/>
      <c r="F12" s="29"/>
      <c r="G12" s="9">
        <f t="shared" si="0"/>
        <v>2.5393403085962869</v>
      </c>
      <c r="H12" s="9">
        <f t="shared" si="1"/>
        <v>2.5393403085962869</v>
      </c>
      <c r="J12" s="29"/>
      <c r="K12" s="29"/>
      <c r="L12" s="30"/>
    </row>
    <row r="13" spans="1:12" x14ac:dyDescent="0.25">
      <c r="A13" s="31">
        <v>50</v>
      </c>
      <c r="B13" s="34">
        <v>289.32177999999999</v>
      </c>
      <c r="C13" s="30">
        <v>28.169709999999998</v>
      </c>
      <c r="D13" s="30">
        <v>0.98821000000000003</v>
      </c>
      <c r="E13" s="29"/>
      <c r="F13" s="29"/>
      <c r="G13" s="9">
        <f t="shared" si="0"/>
        <v>2.7299206019301971</v>
      </c>
      <c r="H13" s="9">
        <f t="shared" si="1"/>
        <v>2.7299206019301971</v>
      </c>
    </row>
    <row r="14" spans="1:12" x14ac:dyDescent="0.25">
      <c r="A14" s="31">
        <v>100</v>
      </c>
      <c r="B14" s="34">
        <v>296.25407000000001</v>
      </c>
      <c r="C14" s="30">
        <v>27.111529999999998</v>
      </c>
      <c r="D14" s="30">
        <v>0.98150000000000004</v>
      </c>
      <c r="E14" s="29"/>
      <c r="F14" s="29"/>
      <c r="G14" s="9">
        <f t="shared" si="0"/>
        <v>2.9122554526501241</v>
      </c>
      <c r="H14" s="9">
        <f t="shared" si="1"/>
        <v>2.9122554526501241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7.3357605569805679</v>
      </c>
      <c r="C19" s="30">
        <f t="shared" ref="C19:C26" si="2">A19/60</f>
        <v>8.3333333333333329E-2</v>
      </c>
      <c r="F19" s="29"/>
      <c r="G19" s="29"/>
      <c r="H19" s="29"/>
    </row>
    <row r="20" spans="1:8" x14ac:dyDescent="0.25">
      <c r="A20" s="29">
        <v>10</v>
      </c>
      <c r="B20" s="29">
        <f t="shared" ref="B20:B26" si="3">$B$11/($C$11+A20)^$D$11</f>
        <v>6.4357130686916602</v>
      </c>
      <c r="C20" s="30">
        <f t="shared" si="2"/>
        <v>0.16666666666666666</v>
      </c>
      <c r="F20" s="29"/>
      <c r="G20" s="29"/>
      <c r="H20" s="29"/>
    </row>
    <row r="21" spans="1:8" x14ac:dyDescent="0.25">
      <c r="A21" s="29">
        <v>30</v>
      </c>
      <c r="B21" s="29">
        <f t="shared" si="3"/>
        <v>4.3145065422964555</v>
      </c>
      <c r="C21" s="30">
        <f t="shared" si="2"/>
        <v>0.5</v>
      </c>
      <c r="F21" s="29"/>
      <c r="G21" s="29"/>
      <c r="H21" s="29"/>
    </row>
    <row r="22" spans="1:8" x14ac:dyDescent="0.25">
      <c r="A22" s="29">
        <v>60</v>
      </c>
      <c r="B22" s="29">
        <f t="shared" si="3"/>
        <v>2.8846600940320966</v>
      </c>
      <c r="C22" s="30">
        <f t="shared" si="2"/>
        <v>1</v>
      </c>
      <c r="F22" s="29"/>
      <c r="G22" s="29"/>
      <c r="H22" s="29"/>
    </row>
    <row r="23" spans="1:8" x14ac:dyDescent="0.25">
      <c r="A23" s="29">
        <v>180</v>
      </c>
      <c r="B23" s="29">
        <f t="shared" si="3"/>
        <v>1.2373500735152752</v>
      </c>
      <c r="C23" s="30">
        <f t="shared" si="2"/>
        <v>3</v>
      </c>
      <c r="F23" s="29"/>
      <c r="G23" s="29"/>
      <c r="H23" s="29"/>
    </row>
    <row r="24" spans="1:8" x14ac:dyDescent="0.25">
      <c r="A24" s="29">
        <v>360</v>
      </c>
      <c r="B24" s="29">
        <f t="shared" si="3"/>
        <v>0.66507183468657949</v>
      </c>
      <c r="C24" s="30">
        <f t="shared" si="2"/>
        <v>6</v>
      </c>
      <c r="F24" s="29"/>
      <c r="G24" s="33"/>
      <c r="H24" s="33"/>
    </row>
    <row r="25" spans="1:8" x14ac:dyDescent="0.25">
      <c r="A25" s="29">
        <v>840</v>
      </c>
      <c r="B25" s="29">
        <f t="shared" si="3"/>
        <v>0.2970177549031327</v>
      </c>
      <c r="C25" s="30">
        <f t="shared" si="2"/>
        <v>14</v>
      </c>
      <c r="F25" s="29"/>
      <c r="G25" s="9"/>
      <c r="H25" s="9"/>
    </row>
    <row r="26" spans="1:8" x14ac:dyDescent="0.25">
      <c r="A26" s="29">
        <v>1440</v>
      </c>
      <c r="B26" s="29">
        <f t="shared" si="3"/>
        <v>0.17527481595127006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248.79152999999999</v>
      </c>
      <c r="C9" s="30">
        <v>34.255389999999998</v>
      </c>
      <c r="D9" s="30">
        <v>1.02718</v>
      </c>
      <c r="E9" s="29"/>
      <c r="F9" s="29"/>
      <c r="G9" s="9">
        <f t="shared" ref="G9:G14" si="0">B9/(C9+$D$4)^D9</f>
        <v>1.8498866303863235</v>
      </c>
      <c r="H9" s="9">
        <f t="shared" ref="H9:H14" si="1">B9/(C9+$D$5)^D9</f>
        <v>1.8498866303863235</v>
      </c>
      <c r="J9" s="29"/>
      <c r="K9" s="29"/>
      <c r="L9" s="30"/>
    </row>
    <row r="10" spans="1:12" x14ac:dyDescent="0.25">
      <c r="A10" s="31">
        <v>5</v>
      </c>
      <c r="B10" s="34">
        <v>263.71406000000002</v>
      </c>
      <c r="C10" s="30">
        <v>31.971609999999998</v>
      </c>
      <c r="D10" s="30">
        <v>1.01271</v>
      </c>
      <c r="E10" s="29"/>
      <c r="F10" s="29"/>
      <c r="G10" s="9">
        <f t="shared" si="0"/>
        <v>2.1429692390417481</v>
      </c>
      <c r="H10" s="9">
        <f t="shared" si="1"/>
        <v>2.1429692390417481</v>
      </c>
      <c r="J10" s="29"/>
      <c r="K10" s="29"/>
      <c r="L10" s="30"/>
    </row>
    <row r="11" spans="1:12" x14ac:dyDescent="0.25">
      <c r="A11" s="31">
        <v>10</v>
      </c>
      <c r="B11" s="34">
        <v>272.73104999999998</v>
      </c>
      <c r="C11" s="30">
        <v>30.63053</v>
      </c>
      <c r="D11" s="30">
        <v>1.0040800000000001</v>
      </c>
      <c r="E11" s="29"/>
      <c r="F11" s="29"/>
      <c r="G11" s="35">
        <f t="shared" si="0"/>
        <v>2.3361786128405462</v>
      </c>
      <c r="H11" s="118">
        <f t="shared" si="1"/>
        <v>2.3361786128405462</v>
      </c>
      <c r="J11" s="29"/>
      <c r="K11" s="29"/>
      <c r="L11" s="30"/>
    </row>
    <row r="12" spans="1:12" x14ac:dyDescent="0.25">
      <c r="A12" s="31">
        <v>25</v>
      </c>
      <c r="B12" s="34">
        <v>284.08978999999999</v>
      </c>
      <c r="C12" s="30">
        <v>28.951280000000001</v>
      </c>
      <c r="D12" s="30">
        <v>0.99322999999999995</v>
      </c>
      <c r="E12" s="29"/>
      <c r="F12" s="29"/>
      <c r="G12" s="9">
        <f t="shared" si="0"/>
        <v>2.5997889792925388</v>
      </c>
      <c r="H12" s="9">
        <f t="shared" si="1"/>
        <v>2.5997889792925388</v>
      </c>
      <c r="J12" s="29"/>
      <c r="K12" s="29"/>
      <c r="L12" s="30"/>
    </row>
    <row r="13" spans="1:12" x14ac:dyDescent="0.25">
      <c r="A13" s="31">
        <v>50</v>
      </c>
      <c r="B13" s="34">
        <v>291.79401000000001</v>
      </c>
      <c r="C13" s="30">
        <v>27.79608</v>
      </c>
      <c r="D13" s="30">
        <v>0.98582999999999998</v>
      </c>
      <c r="E13" s="29"/>
      <c r="F13" s="29"/>
      <c r="G13" s="9">
        <f t="shared" si="0"/>
        <v>2.7935271367886636</v>
      </c>
      <c r="H13" s="9">
        <f t="shared" si="1"/>
        <v>2.7935271367886636</v>
      </c>
    </row>
    <row r="14" spans="1:12" x14ac:dyDescent="0.25">
      <c r="A14" s="31">
        <v>100</v>
      </c>
      <c r="B14" s="34">
        <v>298.59854000000001</v>
      </c>
      <c r="C14" s="30">
        <v>26.744620000000001</v>
      </c>
      <c r="D14" s="30">
        <v>0.97921000000000002</v>
      </c>
      <c r="E14" s="29"/>
      <c r="F14" s="29"/>
      <c r="G14" s="9">
        <f t="shared" si="0"/>
        <v>2.9767660311939999</v>
      </c>
      <c r="H14" s="9">
        <f t="shared" si="1"/>
        <v>2.9767660311939999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7.5436384788001485</v>
      </c>
      <c r="C19" s="30">
        <f t="shared" ref="C19:C26" si="2">A19/60</f>
        <v>8.3333333333333329E-2</v>
      </c>
      <c r="F19" s="29"/>
      <c r="G19" s="29"/>
      <c r="H19" s="29"/>
    </row>
    <row r="20" spans="1:8" x14ac:dyDescent="0.25">
      <c r="A20" s="29">
        <v>10</v>
      </c>
      <c r="B20" s="29">
        <f t="shared" ref="B20:B26" si="3">$B$11/($C$11+A20)^$D$11</f>
        <v>6.61177367336846</v>
      </c>
      <c r="C20" s="30">
        <f t="shared" si="2"/>
        <v>0.16666666666666666</v>
      </c>
      <c r="F20" s="29"/>
      <c r="G20" s="29"/>
      <c r="H20" s="29"/>
    </row>
    <row r="21" spans="1:8" x14ac:dyDescent="0.25">
      <c r="A21" s="29">
        <v>30</v>
      </c>
      <c r="B21" s="29">
        <f t="shared" si="3"/>
        <v>4.423538781396342</v>
      </c>
      <c r="C21" s="30">
        <f t="shared" si="2"/>
        <v>0.5</v>
      </c>
      <c r="F21" s="29"/>
      <c r="G21" s="29"/>
      <c r="H21" s="29"/>
    </row>
    <row r="22" spans="1:8" x14ac:dyDescent="0.25">
      <c r="A22" s="29">
        <v>60</v>
      </c>
      <c r="B22" s="29">
        <f t="shared" si="3"/>
        <v>2.9544346268887773</v>
      </c>
      <c r="C22" s="30">
        <f t="shared" si="2"/>
        <v>1</v>
      </c>
      <c r="F22" s="29"/>
      <c r="G22" s="29"/>
      <c r="H22" s="29"/>
    </row>
    <row r="23" spans="1:8" x14ac:dyDescent="0.25">
      <c r="A23" s="29">
        <v>180</v>
      </c>
      <c r="B23" s="29">
        <f t="shared" si="3"/>
        <v>1.2668736316600724</v>
      </c>
      <c r="C23" s="30">
        <f t="shared" si="2"/>
        <v>3</v>
      </c>
      <c r="F23" s="29"/>
      <c r="G23" s="29"/>
      <c r="H23" s="29"/>
    </row>
    <row r="24" spans="1:8" x14ac:dyDescent="0.25">
      <c r="A24" s="29">
        <v>360</v>
      </c>
      <c r="B24" s="29">
        <f t="shared" si="3"/>
        <v>0.68138723861352424</v>
      </c>
      <c r="C24" s="30">
        <f t="shared" si="2"/>
        <v>6</v>
      </c>
      <c r="F24" s="29"/>
      <c r="G24" s="33"/>
      <c r="H24" s="33"/>
    </row>
    <row r="25" spans="1:8" x14ac:dyDescent="0.25">
      <c r="A25" s="29">
        <v>840</v>
      </c>
      <c r="B25" s="29">
        <f t="shared" si="3"/>
        <v>0.3047236557764948</v>
      </c>
      <c r="C25" s="30">
        <f t="shared" si="2"/>
        <v>14</v>
      </c>
      <c r="F25" s="29"/>
      <c r="G25" s="9"/>
      <c r="H25" s="9"/>
    </row>
    <row r="26" spans="1:8" x14ac:dyDescent="0.25">
      <c r="A26" s="29">
        <v>1440</v>
      </c>
      <c r="B26" s="29">
        <f t="shared" si="3"/>
        <v>0.18001454301546113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244.34492</v>
      </c>
      <c r="C9" s="30">
        <v>34.958060000000003</v>
      </c>
      <c r="D9" s="30">
        <v>1.03155</v>
      </c>
      <c r="E9" s="29"/>
      <c r="F9" s="29"/>
      <c r="G9" s="9">
        <f t="shared" ref="G9:G14" si="0">B9/(C9+$D$4)^D9</f>
        <v>1.7684782213720358</v>
      </c>
      <c r="H9" s="9">
        <f t="shared" ref="H9:H14" si="1">B9/(C9+$D$5)^D9</f>
        <v>1.7684782213720358</v>
      </c>
      <c r="J9" s="29"/>
      <c r="K9" s="29"/>
      <c r="L9" s="30"/>
    </row>
    <row r="10" spans="1:12" x14ac:dyDescent="0.25">
      <c r="A10" s="31">
        <v>5</v>
      </c>
      <c r="B10" s="34">
        <v>258.50572</v>
      </c>
      <c r="C10" s="30">
        <v>32.756839999999997</v>
      </c>
      <c r="D10" s="30">
        <v>1.01773</v>
      </c>
      <c r="E10" s="29"/>
      <c r="F10" s="29"/>
      <c r="G10" s="9">
        <f t="shared" si="0"/>
        <v>2.0370716512315412</v>
      </c>
      <c r="H10" s="9">
        <f t="shared" si="1"/>
        <v>2.0370716512315412</v>
      </c>
      <c r="J10" s="29"/>
      <c r="K10" s="29"/>
      <c r="L10" s="30"/>
    </row>
    <row r="11" spans="1:12" x14ac:dyDescent="0.25">
      <c r="A11" s="31">
        <v>10</v>
      </c>
      <c r="B11" s="34">
        <v>267.54246999999998</v>
      </c>
      <c r="C11" s="30">
        <v>31.39986</v>
      </c>
      <c r="D11" s="30">
        <v>1.0090399999999999</v>
      </c>
      <c r="E11" s="29"/>
      <c r="F11" s="29"/>
      <c r="G11" s="35">
        <f t="shared" si="0"/>
        <v>2.2234019596855208</v>
      </c>
      <c r="H11" s="118">
        <f t="shared" si="1"/>
        <v>2.2234019596855208</v>
      </c>
      <c r="J11" s="29"/>
      <c r="K11" s="29"/>
      <c r="L11" s="30"/>
    </row>
    <row r="12" spans="1:12" x14ac:dyDescent="0.25">
      <c r="A12" s="31">
        <v>25</v>
      </c>
      <c r="B12" s="34">
        <v>279.77346</v>
      </c>
      <c r="C12" s="30">
        <v>29.590430000000001</v>
      </c>
      <c r="D12" s="30">
        <v>0.99734999999999996</v>
      </c>
      <c r="E12" s="29"/>
      <c r="F12" s="29"/>
      <c r="G12" s="9">
        <f t="shared" si="0"/>
        <v>2.496814435134608</v>
      </c>
      <c r="H12" s="9">
        <f t="shared" si="1"/>
        <v>2.496814435134608</v>
      </c>
      <c r="J12" s="29"/>
      <c r="K12" s="29"/>
      <c r="L12" s="30"/>
    </row>
    <row r="13" spans="1:12" x14ac:dyDescent="0.25">
      <c r="A13" s="31">
        <v>50</v>
      </c>
      <c r="B13" s="34">
        <v>288.71309000000002</v>
      </c>
      <c r="C13" s="30">
        <v>28.26125</v>
      </c>
      <c r="D13" s="30">
        <v>0.98878999999999995</v>
      </c>
      <c r="E13" s="29"/>
      <c r="F13" s="29"/>
      <c r="G13" s="9">
        <f t="shared" si="0"/>
        <v>2.7145385914858551</v>
      </c>
      <c r="H13" s="9">
        <f t="shared" si="1"/>
        <v>2.7145385914858551</v>
      </c>
    </row>
    <row r="14" spans="1:12" x14ac:dyDescent="0.25">
      <c r="A14" s="31">
        <v>100</v>
      </c>
      <c r="B14" s="34">
        <v>296.66217</v>
      </c>
      <c r="C14" s="30">
        <v>27.048590000000001</v>
      </c>
      <c r="D14" s="30">
        <v>0.98111000000000004</v>
      </c>
      <c r="E14" s="29"/>
      <c r="F14" s="29"/>
      <c r="G14" s="9">
        <f t="shared" si="0"/>
        <v>2.9232547804524782</v>
      </c>
      <c r="H14" s="9">
        <f t="shared" si="1"/>
        <v>2.9232547804524782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7.115094581123488</v>
      </c>
      <c r="C19" s="30">
        <f t="shared" ref="C19:C26" si="2">A19/60</f>
        <v>8.3333333333333329E-2</v>
      </c>
      <c r="F19" s="29"/>
      <c r="G19" s="29"/>
      <c r="H19" s="29"/>
    </row>
    <row r="20" spans="1:8" x14ac:dyDescent="0.25">
      <c r="A20" s="29">
        <v>10</v>
      </c>
      <c r="B20" s="29">
        <f t="shared" ref="B20:B26" si="3">$B$11/($C$11+A20)^$D$11</f>
        <v>6.2485059821280773</v>
      </c>
      <c r="C20" s="30">
        <f t="shared" si="2"/>
        <v>0.16666666666666666</v>
      </c>
      <c r="F20" s="29"/>
      <c r="G20" s="29"/>
      <c r="H20" s="29"/>
    </row>
    <row r="21" spans="1:8" x14ac:dyDescent="0.25">
      <c r="A21" s="29">
        <v>30</v>
      </c>
      <c r="B21" s="29">
        <f t="shared" si="3"/>
        <v>4.198172874567808</v>
      </c>
      <c r="C21" s="30">
        <f t="shared" si="2"/>
        <v>0.5</v>
      </c>
      <c r="F21" s="29"/>
      <c r="G21" s="29"/>
      <c r="H21" s="29"/>
    </row>
    <row r="22" spans="1:8" x14ac:dyDescent="0.25">
      <c r="A22" s="29">
        <v>60</v>
      </c>
      <c r="B22" s="29">
        <f t="shared" si="3"/>
        <v>2.8100901595511432</v>
      </c>
      <c r="C22" s="30">
        <f t="shared" si="2"/>
        <v>1</v>
      </c>
      <c r="F22" s="29"/>
      <c r="G22" s="29"/>
      <c r="H22" s="29"/>
    </row>
    <row r="23" spans="1:8" x14ac:dyDescent="0.25">
      <c r="A23" s="29">
        <v>180</v>
      </c>
      <c r="B23" s="29">
        <f t="shared" si="3"/>
        <v>1.2057828163566204</v>
      </c>
      <c r="C23" s="30">
        <f t="shared" si="2"/>
        <v>3</v>
      </c>
      <c r="F23" s="29"/>
      <c r="G23" s="29"/>
      <c r="H23" s="29"/>
    </row>
    <row r="24" spans="1:8" x14ac:dyDescent="0.25">
      <c r="A24" s="29">
        <v>360</v>
      </c>
      <c r="B24" s="29">
        <f t="shared" si="3"/>
        <v>0.6476416572596696</v>
      </c>
      <c r="C24" s="30">
        <f t="shared" si="2"/>
        <v>6</v>
      </c>
      <c r="F24" s="29"/>
      <c r="G24" s="33"/>
      <c r="H24" s="33"/>
    </row>
    <row r="25" spans="1:8" x14ac:dyDescent="0.25">
      <c r="A25" s="29">
        <v>840</v>
      </c>
      <c r="B25" s="29">
        <f t="shared" si="3"/>
        <v>0.28879899683038818</v>
      </c>
      <c r="C25" s="30">
        <f t="shared" si="2"/>
        <v>14</v>
      </c>
      <c r="F25" s="29"/>
      <c r="G25" s="9"/>
      <c r="H25" s="9"/>
    </row>
    <row r="26" spans="1:8" x14ac:dyDescent="0.25">
      <c r="A26" s="29">
        <v>1440</v>
      </c>
      <c r="B26" s="29">
        <f t="shared" si="3"/>
        <v>0.17022593810573969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245.97253000000001</v>
      </c>
      <c r="C9" s="30">
        <v>34.698950000000004</v>
      </c>
      <c r="D9" s="30">
        <v>1.0299400000000001</v>
      </c>
      <c r="E9" s="29"/>
      <c r="F9" s="29"/>
      <c r="G9" s="9">
        <f t="shared" ref="G9:G14" si="0">B9/(C9+$D$4)^D9</f>
        <v>1.7980428332263287</v>
      </c>
      <c r="H9" s="9">
        <f t="shared" ref="H9:H14" si="1">B9/(C9+$D$5)^D9</f>
        <v>1.7980428332263287</v>
      </c>
      <c r="J9" s="29"/>
      <c r="K9" s="29"/>
      <c r="L9" s="30"/>
    </row>
    <row r="10" spans="1:12" x14ac:dyDescent="0.25">
      <c r="A10" s="31">
        <v>5</v>
      </c>
      <c r="B10" s="34">
        <v>259.11354999999998</v>
      </c>
      <c r="C10" s="30">
        <v>32.664630000000002</v>
      </c>
      <c r="D10" s="30">
        <v>1.0171399999999999</v>
      </c>
      <c r="E10" s="29"/>
      <c r="F10" s="29"/>
      <c r="G10" s="9">
        <f t="shared" si="0"/>
        <v>2.049250612453255</v>
      </c>
      <c r="H10" s="9">
        <f t="shared" si="1"/>
        <v>2.049250612453255</v>
      </c>
      <c r="J10" s="29"/>
      <c r="K10" s="29"/>
      <c r="L10" s="30"/>
    </row>
    <row r="11" spans="1:12" x14ac:dyDescent="0.25">
      <c r="A11" s="31">
        <v>10</v>
      </c>
      <c r="B11" s="34">
        <v>267.80932999999999</v>
      </c>
      <c r="C11" s="30">
        <v>31.36009</v>
      </c>
      <c r="D11" s="30">
        <v>1.00878</v>
      </c>
      <c r="E11" s="29"/>
      <c r="F11" s="29"/>
      <c r="G11" s="35">
        <f t="shared" si="0"/>
        <v>2.2291442835673374</v>
      </c>
      <c r="H11" s="118">
        <f t="shared" si="1"/>
        <v>2.2291442835673374</v>
      </c>
      <c r="J11" s="29"/>
      <c r="K11" s="29"/>
      <c r="L11" s="30"/>
    </row>
    <row r="12" spans="1:12" x14ac:dyDescent="0.25">
      <c r="A12" s="31">
        <v>25</v>
      </c>
      <c r="B12" s="34">
        <v>280.16379000000001</v>
      </c>
      <c r="C12" s="30">
        <v>29.53274</v>
      </c>
      <c r="D12" s="30">
        <v>0.99697999999999998</v>
      </c>
      <c r="E12" s="29"/>
      <c r="F12" s="29"/>
      <c r="G12" s="9">
        <f t="shared" si="0"/>
        <v>2.5059491613194931</v>
      </c>
      <c r="H12" s="9">
        <f t="shared" si="1"/>
        <v>2.5059491613194931</v>
      </c>
      <c r="J12" s="29"/>
      <c r="K12" s="29"/>
      <c r="L12" s="30"/>
    </row>
    <row r="13" spans="1:12" x14ac:dyDescent="0.25">
      <c r="A13" s="31">
        <v>50</v>
      </c>
      <c r="B13" s="34">
        <v>288.48608999999999</v>
      </c>
      <c r="C13" s="30">
        <v>28.29513</v>
      </c>
      <c r="D13" s="30">
        <v>0.98900999999999994</v>
      </c>
      <c r="E13" s="29"/>
      <c r="F13" s="29"/>
      <c r="G13" s="9">
        <f t="shared" si="0"/>
        <v>2.7087799495072047</v>
      </c>
      <c r="H13" s="9">
        <f t="shared" si="1"/>
        <v>2.7087799495072047</v>
      </c>
    </row>
    <row r="14" spans="1:12" x14ac:dyDescent="0.25">
      <c r="A14" s="31">
        <v>100</v>
      </c>
      <c r="B14" s="34">
        <v>296.13357000000002</v>
      </c>
      <c r="C14" s="30">
        <v>27.129909999999999</v>
      </c>
      <c r="D14" s="30">
        <v>0.98162000000000005</v>
      </c>
      <c r="E14" s="29"/>
      <c r="F14" s="29"/>
      <c r="G14" s="9">
        <f t="shared" si="0"/>
        <v>2.9089533564335781</v>
      </c>
      <c r="H14" s="9">
        <f t="shared" si="1"/>
        <v>2.9089533564335781</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7.1367168495865396</v>
      </c>
      <c r="C19" s="30">
        <f t="shared" ref="C19:C26" si="2">A19/60</f>
        <v>8.3333333333333329E-2</v>
      </c>
      <c r="F19" s="29"/>
      <c r="G19" s="29"/>
      <c r="H19" s="29"/>
    </row>
    <row r="20" spans="1:8" x14ac:dyDescent="0.25">
      <c r="A20" s="29">
        <v>10</v>
      </c>
      <c r="B20" s="29">
        <f t="shared" ref="B20:B26" si="3">$B$11/($C$11+A20)^$D$11</f>
        <v>6.2668693756496614</v>
      </c>
      <c r="C20" s="30">
        <f t="shared" si="2"/>
        <v>0.16666666666666666</v>
      </c>
      <c r="F20" s="29"/>
      <c r="G20" s="29"/>
      <c r="H20" s="29"/>
    </row>
    <row r="21" spans="1:8" x14ac:dyDescent="0.25">
      <c r="A21" s="29">
        <v>30</v>
      </c>
      <c r="B21" s="29">
        <f t="shared" si="3"/>
        <v>4.2096120709196043</v>
      </c>
      <c r="C21" s="30">
        <f t="shared" si="2"/>
        <v>0.5</v>
      </c>
      <c r="F21" s="29"/>
      <c r="G21" s="29"/>
      <c r="H21" s="29"/>
    </row>
    <row r="22" spans="1:8" x14ac:dyDescent="0.25">
      <c r="A22" s="29">
        <v>60</v>
      </c>
      <c r="B22" s="29">
        <f t="shared" si="3"/>
        <v>2.8174339401800967</v>
      </c>
      <c r="C22" s="30">
        <f t="shared" si="2"/>
        <v>1</v>
      </c>
      <c r="F22" s="29"/>
      <c r="G22" s="29"/>
      <c r="H22" s="29"/>
    </row>
    <row r="23" spans="1:8" x14ac:dyDescent="0.25">
      <c r="A23" s="29">
        <v>180</v>
      </c>
      <c r="B23" s="29">
        <f t="shared" si="3"/>
        <v>1.2088962098487031</v>
      </c>
      <c r="C23" s="30">
        <f t="shared" si="2"/>
        <v>3</v>
      </c>
      <c r="F23" s="29"/>
      <c r="G23" s="29"/>
      <c r="H23" s="29"/>
    </row>
    <row r="24" spans="1:8" x14ac:dyDescent="0.25">
      <c r="A24" s="29">
        <v>360</v>
      </c>
      <c r="B24" s="29">
        <f t="shared" si="3"/>
        <v>0.64936121533142654</v>
      </c>
      <c r="C24" s="30">
        <f t="shared" si="2"/>
        <v>6</v>
      </c>
      <c r="F24" s="29"/>
      <c r="G24" s="33"/>
      <c r="H24" s="33"/>
    </row>
    <row r="25" spans="1:8" x14ac:dyDescent="0.25">
      <c r="A25" s="29">
        <v>840</v>
      </c>
      <c r="B25" s="29">
        <f t="shared" si="3"/>
        <v>0.2896096994846758</v>
      </c>
      <c r="C25" s="30">
        <f t="shared" si="2"/>
        <v>14</v>
      </c>
      <c r="F25" s="29"/>
      <c r="G25" s="9"/>
      <c r="H25" s="9"/>
    </row>
    <row r="26" spans="1:8" x14ac:dyDescent="0.25">
      <c r="A26" s="29">
        <v>1440</v>
      </c>
      <c r="B26" s="29">
        <f t="shared" si="3"/>
        <v>0.17072383530291921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238.04742999999999</v>
      </c>
      <c r="C9" s="30">
        <v>35.976790000000001</v>
      </c>
      <c r="D9" s="30">
        <v>1.0378000000000001</v>
      </c>
      <c r="E9" s="29"/>
      <c r="F9" s="29"/>
      <c r="G9" s="9">
        <f t="shared" ref="G9:G14" si="0">B9/(C9+$D$4)^D9</f>
        <v>1.6574642422242496</v>
      </c>
      <c r="H9" s="9">
        <f t="shared" ref="H9:H14" si="1">B9/(C9+$D$5)^D9</f>
        <v>1.6574642422242496</v>
      </c>
      <c r="J9" s="29"/>
      <c r="K9" s="29"/>
      <c r="L9" s="30"/>
    </row>
    <row r="10" spans="1:12" x14ac:dyDescent="0.25">
      <c r="A10" s="31">
        <v>5</v>
      </c>
      <c r="B10" s="34">
        <v>253.07857999999999</v>
      </c>
      <c r="C10" s="30">
        <v>33.587960000000002</v>
      </c>
      <c r="D10" s="30">
        <v>1.0229900000000001</v>
      </c>
      <c r="E10" s="29"/>
      <c r="F10" s="29"/>
      <c r="G10" s="9">
        <f t="shared" si="0"/>
        <v>1.9309248527376406</v>
      </c>
      <c r="H10" s="9">
        <f t="shared" si="1"/>
        <v>1.9309248527376406</v>
      </c>
      <c r="J10" s="29"/>
      <c r="K10" s="29"/>
      <c r="L10" s="30"/>
    </row>
    <row r="11" spans="1:12" x14ac:dyDescent="0.25">
      <c r="A11" s="31">
        <v>10</v>
      </c>
      <c r="B11" s="34">
        <v>263.15904</v>
      </c>
      <c r="C11" s="30">
        <v>32.0548</v>
      </c>
      <c r="D11" s="30">
        <v>1.0132399999999999</v>
      </c>
      <c r="E11" s="29"/>
      <c r="F11" s="29"/>
      <c r="G11" s="35">
        <f t="shared" si="0"/>
        <v>2.1315287908830225</v>
      </c>
      <c r="H11" s="118">
        <f t="shared" si="1"/>
        <v>2.1315287908830225</v>
      </c>
      <c r="J11" s="29"/>
      <c r="K11" s="29"/>
      <c r="L11" s="30"/>
    </row>
    <row r="12" spans="1:12" x14ac:dyDescent="0.25">
      <c r="A12" s="31">
        <v>25</v>
      </c>
      <c r="B12" s="34">
        <v>276.21251999999998</v>
      </c>
      <c r="C12" s="30">
        <v>30.116250000000001</v>
      </c>
      <c r="D12" s="30">
        <v>1.00075</v>
      </c>
      <c r="E12" s="29"/>
      <c r="F12" s="29"/>
      <c r="G12" s="9">
        <f t="shared" si="0"/>
        <v>2.4144995038146804</v>
      </c>
      <c r="H12" s="9">
        <f t="shared" si="1"/>
        <v>2.4144995038146804</v>
      </c>
      <c r="J12" s="29"/>
      <c r="K12" s="29"/>
      <c r="L12" s="30"/>
    </row>
    <row r="13" spans="1:12" x14ac:dyDescent="0.25">
      <c r="A13" s="31">
        <v>50</v>
      </c>
      <c r="B13" s="34">
        <v>285.40821999999997</v>
      </c>
      <c r="C13" s="30">
        <v>28.755269999999999</v>
      </c>
      <c r="D13" s="30">
        <v>0.99195999999999995</v>
      </c>
      <c r="E13" s="29"/>
      <c r="F13" s="29"/>
      <c r="G13" s="9">
        <f t="shared" si="0"/>
        <v>2.6321133167669548</v>
      </c>
      <c r="H13" s="9">
        <f t="shared" si="1"/>
        <v>2.6321133167669548</v>
      </c>
    </row>
    <row r="14" spans="1:12" x14ac:dyDescent="0.25">
      <c r="A14" s="31">
        <v>100</v>
      </c>
      <c r="B14" s="34">
        <v>293.62644</v>
      </c>
      <c r="C14" s="30">
        <v>27.51709</v>
      </c>
      <c r="D14" s="30">
        <v>0.98404999999999998</v>
      </c>
      <c r="E14" s="29"/>
      <c r="F14" s="29"/>
      <c r="G14" s="9">
        <f t="shared" si="0"/>
        <v>2.8417511941857567</v>
      </c>
      <c r="H14" s="9">
        <f t="shared" si="1"/>
        <v>2.8417511941857567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6.7702127921622806</v>
      </c>
      <c r="C19" s="30">
        <f t="shared" ref="C19:C26" si="2">A19/60</f>
        <v>8.3333333333333329E-2</v>
      </c>
      <c r="F19" s="29"/>
      <c r="G19" s="29"/>
      <c r="H19" s="29"/>
    </row>
    <row r="20" spans="1:8" x14ac:dyDescent="0.25">
      <c r="A20" s="29">
        <v>10</v>
      </c>
      <c r="B20" s="29">
        <f t="shared" ref="B20:B26" si="3">$B$11/($C$11+A20)^$D$11</f>
        <v>5.9552966984341458</v>
      </c>
      <c r="C20" s="30">
        <f t="shared" si="2"/>
        <v>0.16666666666666666</v>
      </c>
      <c r="F20" s="29"/>
      <c r="G20" s="29"/>
      <c r="H20" s="29"/>
    </row>
    <row r="21" spans="1:8" x14ac:dyDescent="0.25">
      <c r="A21" s="29">
        <v>30</v>
      </c>
      <c r="B21" s="29">
        <f t="shared" si="3"/>
        <v>4.0151943093088871</v>
      </c>
      <c r="C21" s="30">
        <f t="shared" si="2"/>
        <v>0.5</v>
      </c>
      <c r="F21" s="29"/>
      <c r="G21" s="29"/>
      <c r="H21" s="29"/>
    </row>
    <row r="22" spans="1:8" x14ac:dyDescent="0.25">
      <c r="A22" s="29">
        <v>60</v>
      </c>
      <c r="B22" s="29">
        <f t="shared" si="3"/>
        <v>2.6925754380469726</v>
      </c>
      <c r="C22" s="30">
        <f t="shared" si="2"/>
        <v>1</v>
      </c>
      <c r="F22" s="29"/>
      <c r="G22" s="29"/>
      <c r="H22" s="29"/>
    </row>
    <row r="23" spans="1:8" x14ac:dyDescent="0.25">
      <c r="A23" s="29">
        <v>180</v>
      </c>
      <c r="B23" s="29">
        <f t="shared" si="3"/>
        <v>1.1560270945363049</v>
      </c>
      <c r="C23" s="30">
        <f t="shared" si="2"/>
        <v>3</v>
      </c>
      <c r="F23" s="29"/>
      <c r="G23" s="29"/>
      <c r="H23" s="29"/>
    </row>
    <row r="24" spans="1:8" x14ac:dyDescent="0.25">
      <c r="A24" s="29">
        <v>360</v>
      </c>
      <c r="B24" s="29">
        <f t="shared" si="3"/>
        <v>0.62020549071097264</v>
      </c>
      <c r="C24" s="30">
        <f t="shared" si="2"/>
        <v>6</v>
      </c>
      <c r="F24" s="29"/>
      <c r="G24" s="33"/>
      <c r="H24" s="33"/>
    </row>
    <row r="25" spans="1:8" x14ac:dyDescent="0.25">
      <c r="A25" s="29">
        <v>840</v>
      </c>
      <c r="B25" s="29">
        <f t="shared" si="3"/>
        <v>0.2758936576910635</v>
      </c>
      <c r="C25" s="30">
        <f t="shared" si="2"/>
        <v>14</v>
      </c>
      <c r="F25" s="29"/>
      <c r="G25" s="9"/>
      <c r="H25" s="9"/>
    </row>
    <row r="26" spans="1:8" x14ac:dyDescent="0.25">
      <c r="A26" s="29">
        <v>1440</v>
      </c>
      <c r="B26" s="29">
        <f t="shared" si="3"/>
        <v>0.16231213944057798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249.75954999999999</v>
      </c>
      <c r="C9" s="30">
        <v>34.102699999999999</v>
      </c>
      <c r="D9" s="30">
        <v>1.02623</v>
      </c>
      <c r="E9" s="29"/>
      <c r="F9" s="29"/>
      <c r="G9" s="9">
        <f t="shared" ref="G9:G14" si="0">B9/(C9+$D$4)^D9</f>
        <v>1.8679997553052887</v>
      </c>
      <c r="H9" s="9">
        <f t="shared" ref="H9:H14" si="1">B9/(C9+$D$5)^D9</f>
        <v>1.8679997553052887</v>
      </c>
      <c r="J9" s="29"/>
      <c r="K9" s="29"/>
      <c r="L9" s="30"/>
    </row>
    <row r="10" spans="1:12" x14ac:dyDescent="0.25">
      <c r="A10" s="31">
        <v>5</v>
      </c>
      <c r="B10" s="34">
        <v>261.38427999999999</v>
      </c>
      <c r="C10" s="30">
        <v>32.321309999999997</v>
      </c>
      <c r="D10" s="30">
        <v>1.01495</v>
      </c>
      <c r="E10" s="29"/>
      <c r="F10" s="29"/>
      <c r="G10" s="9">
        <f t="shared" si="0"/>
        <v>2.0951274333838388</v>
      </c>
      <c r="H10" s="9">
        <f t="shared" si="1"/>
        <v>2.0951274333838388</v>
      </c>
      <c r="J10" s="29"/>
      <c r="K10" s="29"/>
      <c r="L10" s="30"/>
    </row>
    <row r="11" spans="1:12" x14ac:dyDescent="0.25">
      <c r="A11" s="31">
        <v>10</v>
      </c>
      <c r="B11" s="34">
        <v>269.34521000000001</v>
      </c>
      <c r="C11" s="30">
        <v>31.131879999999999</v>
      </c>
      <c r="D11" s="30">
        <v>1.0073099999999999</v>
      </c>
      <c r="E11" s="29"/>
      <c r="F11" s="29"/>
      <c r="G11" s="35">
        <f t="shared" si="0"/>
        <v>2.2621399966876958</v>
      </c>
      <c r="H11" s="118">
        <f t="shared" si="1"/>
        <v>2.2621399966876958</v>
      </c>
      <c r="J11" s="29"/>
      <c r="K11" s="29"/>
      <c r="L11" s="30"/>
    </row>
    <row r="12" spans="1:12" x14ac:dyDescent="0.25">
      <c r="A12" s="31">
        <v>25</v>
      </c>
      <c r="B12" s="34">
        <v>288.87468000000001</v>
      </c>
      <c r="C12" s="30">
        <v>29.410900000000002</v>
      </c>
      <c r="D12" s="30">
        <v>0.99619000000000002</v>
      </c>
      <c r="E12" s="29"/>
      <c r="F12" s="29"/>
      <c r="G12" s="9">
        <f t="shared" si="0"/>
        <v>2.5963184216645017</v>
      </c>
      <c r="H12" s="9">
        <f t="shared" si="1"/>
        <v>2.5963184216645017</v>
      </c>
      <c r="J12" s="29"/>
      <c r="K12" s="29"/>
      <c r="L12" s="30"/>
    </row>
    <row r="13" spans="1:12" x14ac:dyDescent="0.25">
      <c r="A13" s="31">
        <v>50</v>
      </c>
      <c r="B13" s="34">
        <v>288.87468000000001</v>
      </c>
      <c r="C13" s="30">
        <v>28.236509999999999</v>
      </c>
      <c r="D13" s="30">
        <v>0.98863999999999996</v>
      </c>
      <c r="E13" s="29"/>
      <c r="F13" s="29"/>
      <c r="G13" s="9">
        <f t="shared" si="0"/>
        <v>2.718574397055928</v>
      </c>
      <c r="H13" s="9">
        <f t="shared" si="1"/>
        <v>2.718574397055928</v>
      </c>
    </row>
    <row r="14" spans="1:12" x14ac:dyDescent="0.25">
      <c r="A14" s="31">
        <v>100</v>
      </c>
      <c r="B14" s="34">
        <v>296.40785</v>
      </c>
      <c r="C14" s="30">
        <v>27.086500000000001</v>
      </c>
      <c r="D14" s="30">
        <v>0.98134999999999994</v>
      </c>
      <c r="E14" s="29"/>
      <c r="F14" s="29"/>
      <c r="G14" s="9">
        <f t="shared" si="0"/>
        <v>2.9164716605025847</v>
      </c>
      <c r="H14" s="9">
        <f t="shared" si="1"/>
        <v>2.9164716605025847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7.2615698178229513</v>
      </c>
      <c r="C19" s="30">
        <f t="shared" ref="C19:C26" si="2">A19/60</f>
        <v>8.3333333333333329E-2</v>
      </c>
      <c r="F19" s="29"/>
      <c r="G19" s="29"/>
      <c r="H19" s="29"/>
    </row>
    <row r="20" spans="1:8" x14ac:dyDescent="0.25">
      <c r="A20" s="29">
        <v>10</v>
      </c>
      <c r="B20" s="29">
        <f t="shared" ref="B20:B26" si="3">$B$11/($C$11+A20)^$D$11</f>
        <v>6.372811182570171</v>
      </c>
      <c r="C20" s="30">
        <f t="shared" si="2"/>
        <v>0.16666666666666666</v>
      </c>
      <c r="F20" s="29"/>
      <c r="G20" s="29"/>
      <c r="H20" s="29"/>
    </row>
    <row r="21" spans="1:8" x14ac:dyDescent="0.25">
      <c r="A21" s="29">
        <v>30</v>
      </c>
      <c r="B21" s="29">
        <f t="shared" si="3"/>
        <v>4.2754702350777425</v>
      </c>
      <c r="C21" s="30">
        <f t="shared" si="2"/>
        <v>0.5</v>
      </c>
      <c r="F21" s="29"/>
      <c r="G21" s="29"/>
      <c r="H21" s="29"/>
    </row>
    <row r="22" spans="1:8" x14ac:dyDescent="0.25">
      <c r="A22" s="29">
        <v>60</v>
      </c>
      <c r="B22" s="29">
        <f t="shared" si="3"/>
        <v>2.8596556287393966</v>
      </c>
      <c r="C22" s="30">
        <f t="shared" si="2"/>
        <v>1</v>
      </c>
      <c r="F22" s="29"/>
      <c r="G22" s="29"/>
      <c r="H22" s="29"/>
    </row>
    <row r="23" spans="1:8" x14ac:dyDescent="0.25">
      <c r="A23" s="29">
        <v>180</v>
      </c>
      <c r="B23" s="29">
        <f t="shared" si="3"/>
        <v>1.226769452789173</v>
      </c>
      <c r="C23" s="30">
        <f t="shared" si="2"/>
        <v>3</v>
      </c>
      <c r="F23" s="29"/>
      <c r="G23" s="29"/>
      <c r="H23" s="29"/>
    </row>
    <row r="24" spans="1:8" x14ac:dyDescent="0.25">
      <c r="A24" s="29">
        <v>360</v>
      </c>
      <c r="B24" s="29">
        <f t="shared" si="3"/>
        <v>0.65922877883024511</v>
      </c>
      <c r="C24" s="30">
        <f t="shared" si="2"/>
        <v>6</v>
      </c>
      <c r="F24" s="29"/>
      <c r="G24" s="33"/>
      <c r="H24" s="33"/>
    </row>
    <row r="25" spans="1:8" x14ac:dyDescent="0.25">
      <c r="A25" s="29">
        <v>840</v>
      </c>
      <c r="B25" s="29">
        <f t="shared" si="3"/>
        <v>0.2942614262749163</v>
      </c>
      <c r="C25" s="30">
        <f t="shared" si="2"/>
        <v>14</v>
      </c>
      <c r="F25" s="29"/>
      <c r="G25" s="9"/>
      <c r="H25" s="9"/>
    </row>
    <row r="26" spans="1:8" x14ac:dyDescent="0.25">
      <c r="A26" s="29">
        <v>1440</v>
      </c>
      <c r="B26" s="29">
        <f t="shared" si="3"/>
        <v>0.17358097215968463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237.89063999999999</v>
      </c>
      <c r="C9" s="30">
        <v>36.002400000000002</v>
      </c>
      <c r="D9" s="30">
        <v>1.03796</v>
      </c>
      <c r="E9" s="29"/>
      <c r="F9" s="29"/>
      <c r="G9" s="9">
        <f t="shared" ref="G9:G14" si="0">B9/(C9+$D$4)^D9</f>
        <v>1.6547375784764871</v>
      </c>
      <c r="H9" s="9">
        <f t="shared" ref="H9:H14" si="1">B9/(C9+$D$5)^D9</f>
        <v>1.6547375784764871</v>
      </c>
      <c r="J9" s="29"/>
      <c r="K9" s="29"/>
      <c r="L9" s="30"/>
    </row>
    <row r="10" spans="1:12" x14ac:dyDescent="0.25">
      <c r="A10" s="31">
        <v>5</v>
      </c>
      <c r="B10" s="34">
        <v>253.76636999999999</v>
      </c>
      <c r="C10" s="30">
        <v>33.481679999999997</v>
      </c>
      <c r="D10" s="30">
        <v>1.0223199999999999</v>
      </c>
      <c r="E10" s="29"/>
      <c r="F10" s="29"/>
      <c r="G10" s="9">
        <f t="shared" si="0"/>
        <v>1.9441634943447244</v>
      </c>
      <c r="H10" s="9">
        <f t="shared" si="1"/>
        <v>1.9441634943447244</v>
      </c>
      <c r="J10" s="29"/>
      <c r="K10" s="29"/>
      <c r="L10" s="30"/>
    </row>
    <row r="11" spans="1:12" x14ac:dyDescent="0.25">
      <c r="A11" s="31">
        <v>10</v>
      </c>
      <c r="B11" s="34">
        <v>263.78131000000002</v>
      </c>
      <c r="C11" s="30">
        <v>31.96134</v>
      </c>
      <c r="D11" s="30">
        <v>1.0126500000000001</v>
      </c>
      <c r="E11" s="29"/>
      <c r="F11" s="29"/>
      <c r="G11" s="35">
        <f t="shared" si="0"/>
        <v>2.1443195024841168</v>
      </c>
      <c r="H11" s="118">
        <f t="shared" si="1"/>
        <v>2.1443195024841168</v>
      </c>
      <c r="J11" s="29"/>
      <c r="K11" s="29"/>
      <c r="L11" s="30"/>
    </row>
    <row r="12" spans="1:12" x14ac:dyDescent="0.25">
      <c r="A12" s="31">
        <v>25</v>
      </c>
      <c r="B12" s="34">
        <v>277.32452000000001</v>
      </c>
      <c r="C12" s="30">
        <v>29.952089999999998</v>
      </c>
      <c r="D12" s="30">
        <v>0.99968999999999997</v>
      </c>
      <c r="E12" s="29"/>
      <c r="F12" s="29"/>
      <c r="G12" s="9">
        <f t="shared" si="0"/>
        <v>2.4399335690148374</v>
      </c>
      <c r="H12" s="9">
        <f t="shared" si="1"/>
        <v>2.4399335690148374</v>
      </c>
      <c r="J12" s="29"/>
      <c r="K12" s="29"/>
      <c r="L12" s="30"/>
    </row>
    <row r="13" spans="1:12" x14ac:dyDescent="0.25">
      <c r="A13" s="31">
        <v>50</v>
      </c>
      <c r="B13" s="34">
        <v>286.37653999999998</v>
      </c>
      <c r="C13" s="30">
        <v>28.610849999999999</v>
      </c>
      <c r="D13" s="30">
        <v>0.99104000000000003</v>
      </c>
      <c r="E13" s="29"/>
      <c r="F13" s="29"/>
      <c r="G13" s="9">
        <f t="shared" si="0"/>
        <v>2.655921918461714</v>
      </c>
      <c r="H13" s="9">
        <f t="shared" si="1"/>
        <v>2.655921918461714</v>
      </c>
    </row>
    <row r="14" spans="1:12" x14ac:dyDescent="0.25">
      <c r="A14" s="31">
        <v>100</v>
      </c>
      <c r="B14" s="34">
        <v>294.97888999999998</v>
      </c>
      <c r="C14" s="30">
        <v>27.308869999999999</v>
      </c>
      <c r="D14" s="30">
        <v>0.98273999999999995</v>
      </c>
      <c r="E14" s="29"/>
      <c r="F14" s="29"/>
      <c r="G14" s="9">
        <f t="shared" si="0"/>
        <v>2.8778075504495675</v>
      </c>
      <c r="H14" s="9">
        <f t="shared" si="1"/>
        <v>2.8778075504495675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6.8181147223895362</v>
      </c>
      <c r="C19" s="30">
        <f t="shared" ref="C19:C26" si="2">A19/60</f>
        <v>8.3333333333333329E-2</v>
      </c>
      <c r="F19" s="29"/>
      <c r="G19" s="29"/>
      <c r="H19" s="29"/>
    </row>
    <row r="20" spans="1:8" x14ac:dyDescent="0.25">
      <c r="A20" s="29">
        <v>10</v>
      </c>
      <c r="B20" s="29">
        <f t="shared" ref="B20:B26" si="3">$B$11/($C$11+A20)^$D$11</f>
        <v>5.996055276929809</v>
      </c>
      <c r="C20" s="30">
        <f t="shared" si="2"/>
        <v>0.16666666666666666</v>
      </c>
      <c r="F20" s="29"/>
      <c r="G20" s="29"/>
      <c r="H20" s="29"/>
    </row>
    <row r="21" spans="1:8" x14ac:dyDescent="0.25">
      <c r="A21" s="29">
        <v>30</v>
      </c>
      <c r="B21" s="29">
        <f t="shared" si="3"/>
        <v>4.0406654221006209</v>
      </c>
      <c r="C21" s="30">
        <f t="shared" si="2"/>
        <v>0.5</v>
      </c>
      <c r="F21" s="29"/>
      <c r="G21" s="29"/>
      <c r="H21" s="29"/>
    </row>
    <row r="22" spans="1:8" x14ac:dyDescent="0.25">
      <c r="A22" s="29">
        <v>60</v>
      </c>
      <c r="B22" s="29">
        <f t="shared" si="3"/>
        <v>2.7089383589452134</v>
      </c>
      <c r="C22" s="30">
        <f t="shared" si="2"/>
        <v>1</v>
      </c>
      <c r="F22" s="29"/>
      <c r="G22" s="29"/>
      <c r="H22" s="29"/>
    </row>
    <row r="23" spans="1:8" x14ac:dyDescent="0.25">
      <c r="A23" s="29">
        <v>180</v>
      </c>
      <c r="B23" s="29">
        <f t="shared" si="3"/>
        <v>1.1629477897141913</v>
      </c>
      <c r="C23" s="30">
        <f t="shared" si="2"/>
        <v>3</v>
      </c>
      <c r="F23" s="29"/>
      <c r="G23" s="29"/>
      <c r="H23" s="29"/>
    </row>
    <row r="24" spans="1:8" x14ac:dyDescent="0.25">
      <c r="A24" s="29">
        <v>360</v>
      </c>
      <c r="B24" s="29">
        <f t="shared" si="3"/>
        <v>0.62401676844194798</v>
      </c>
      <c r="C24" s="30">
        <f t="shared" si="2"/>
        <v>6</v>
      </c>
      <c r="F24" s="29"/>
      <c r="G24" s="33"/>
      <c r="H24" s="33"/>
    </row>
    <row r="25" spans="1:8" x14ac:dyDescent="0.25">
      <c r="A25" s="29">
        <v>840</v>
      </c>
      <c r="B25" s="29">
        <f t="shared" si="3"/>
        <v>0.27768313298281339</v>
      </c>
      <c r="C25" s="30">
        <f t="shared" si="2"/>
        <v>14</v>
      </c>
      <c r="F25" s="29"/>
      <c r="G25" s="9"/>
      <c r="H25" s="9"/>
    </row>
    <row r="26" spans="1:8" x14ac:dyDescent="0.25">
      <c r="A26" s="29">
        <v>1440</v>
      </c>
      <c r="B26" s="29">
        <f t="shared" si="3"/>
        <v>0.16340815537449951</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3.2" x14ac:dyDescent="0.25"/>
  <sheetData>
    <row r="3" spans="1:2" x14ac:dyDescent="0.25">
      <c r="A3">
        <v>1</v>
      </c>
      <c r="B3" s="3" t="s">
        <v>417</v>
      </c>
    </row>
    <row r="4" spans="1:2" x14ac:dyDescent="0.25">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239.42789999999999</v>
      </c>
      <c r="C9" s="30">
        <v>35.751910000000002</v>
      </c>
      <c r="D9" s="30">
        <v>1.03643</v>
      </c>
      <c r="E9" s="29"/>
      <c r="F9" s="29"/>
      <c r="G9" s="9">
        <f t="shared" ref="G9:G14" si="0">B9/(C9+$D$4)^D9</f>
        <v>1.6813128120340795</v>
      </c>
      <c r="H9" s="9">
        <f t="shared" ref="H9:H14" si="1">B9/(C9+$D$5)^D9</f>
        <v>1.6813128120340795</v>
      </c>
      <c r="J9" s="29"/>
      <c r="K9" s="29"/>
      <c r="L9" s="30"/>
    </row>
    <row r="10" spans="1:12" x14ac:dyDescent="0.25">
      <c r="A10" s="31">
        <v>5</v>
      </c>
      <c r="B10" s="34">
        <v>254.57509999999999</v>
      </c>
      <c r="C10" s="30">
        <v>33.357579999999999</v>
      </c>
      <c r="D10" s="30">
        <v>1.0215399999999999</v>
      </c>
      <c r="E10" s="29"/>
      <c r="F10" s="29"/>
      <c r="G10" s="9">
        <f t="shared" si="0"/>
        <v>1.9597390421630039</v>
      </c>
      <c r="H10" s="9">
        <f t="shared" si="1"/>
        <v>1.9597390421630039</v>
      </c>
      <c r="J10" s="29"/>
      <c r="K10" s="29"/>
      <c r="L10" s="30"/>
    </row>
    <row r="11" spans="1:12" x14ac:dyDescent="0.25">
      <c r="A11" s="31">
        <v>10</v>
      </c>
      <c r="B11" s="34">
        <v>265.33812</v>
      </c>
      <c r="C11" s="30">
        <v>31.728549999999998</v>
      </c>
      <c r="D11" s="30">
        <v>1.01115</v>
      </c>
      <c r="E11" s="29"/>
      <c r="F11" s="29"/>
      <c r="G11" s="35">
        <f t="shared" si="0"/>
        <v>2.1768288573238359</v>
      </c>
      <c r="H11" s="118">
        <f t="shared" si="1"/>
        <v>2.1768288573238359</v>
      </c>
      <c r="J11" s="29"/>
      <c r="K11" s="29"/>
      <c r="L11" s="30"/>
    </row>
    <row r="12" spans="1:12" x14ac:dyDescent="0.25">
      <c r="A12" s="31">
        <v>25</v>
      </c>
      <c r="B12" s="34">
        <v>278.27661000000001</v>
      </c>
      <c r="C12" s="30">
        <v>29.811530000000001</v>
      </c>
      <c r="D12" s="30">
        <v>0.99878</v>
      </c>
      <c r="E12" s="29"/>
      <c r="F12" s="29"/>
      <c r="G12" s="9">
        <f t="shared" si="0"/>
        <v>2.4619180176102597</v>
      </c>
      <c r="H12" s="9">
        <f t="shared" si="1"/>
        <v>2.4619180176102597</v>
      </c>
      <c r="J12" s="29"/>
      <c r="K12" s="29"/>
      <c r="L12" s="30"/>
    </row>
    <row r="13" spans="1:12" x14ac:dyDescent="0.25">
      <c r="A13" s="31">
        <v>50</v>
      </c>
      <c r="B13" s="34">
        <v>287.58051</v>
      </c>
      <c r="C13" s="30">
        <v>28.431000000000001</v>
      </c>
      <c r="D13" s="30">
        <v>0.98987999999999998</v>
      </c>
      <c r="E13" s="29"/>
      <c r="F13" s="29"/>
      <c r="G13" s="9">
        <f t="shared" si="0"/>
        <v>2.6859906097868853</v>
      </c>
      <c r="H13" s="9">
        <f t="shared" si="1"/>
        <v>2.6859906097868853</v>
      </c>
    </row>
    <row r="14" spans="1:12" x14ac:dyDescent="0.25">
      <c r="A14" s="31">
        <v>100</v>
      </c>
      <c r="B14" s="34">
        <v>296.11192</v>
      </c>
      <c r="C14" s="30">
        <v>27.133880000000001</v>
      </c>
      <c r="D14" s="30">
        <v>0.98163999999999996</v>
      </c>
      <c r="E14" s="29"/>
      <c r="F14" s="29"/>
      <c r="G14" s="9">
        <f t="shared" si="0"/>
        <v>2.9083646150190812</v>
      </c>
      <c r="H14" s="9">
        <f t="shared" si="1"/>
        <v>2.9083646150190812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6.9397859012013488</v>
      </c>
      <c r="C19" s="30">
        <f t="shared" ref="C19:C26" si="2">A19/60</f>
        <v>8.3333333333333329E-2</v>
      </c>
      <c r="F19" s="29"/>
      <c r="G19" s="29"/>
      <c r="H19" s="29"/>
    </row>
    <row r="20" spans="1:8" x14ac:dyDescent="0.25">
      <c r="A20" s="29">
        <v>10</v>
      </c>
      <c r="B20" s="29">
        <f t="shared" ref="B20:B26" si="3">$B$11/($C$11+A20)^$D$11</f>
        <v>6.0995602081287688</v>
      </c>
      <c r="C20" s="30">
        <f t="shared" si="2"/>
        <v>0.16666666666666666</v>
      </c>
      <c r="F20" s="29"/>
      <c r="G20" s="29"/>
      <c r="H20" s="29"/>
    </row>
    <row r="21" spans="1:8" x14ac:dyDescent="0.25">
      <c r="A21" s="29">
        <v>30</v>
      </c>
      <c r="B21" s="29">
        <f t="shared" si="3"/>
        <v>4.1053449312596095</v>
      </c>
      <c r="C21" s="30">
        <f t="shared" si="2"/>
        <v>0.5</v>
      </c>
      <c r="F21" s="29"/>
      <c r="G21" s="29"/>
      <c r="H21" s="29"/>
    </row>
    <row r="22" spans="1:8" x14ac:dyDescent="0.25">
      <c r="A22" s="29">
        <v>60</v>
      </c>
      <c r="B22" s="29">
        <f t="shared" si="3"/>
        <v>2.7505097816223909</v>
      </c>
      <c r="C22" s="30">
        <f t="shared" si="2"/>
        <v>1</v>
      </c>
      <c r="F22" s="29"/>
      <c r="G22" s="29"/>
      <c r="H22" s="29"/>
    </row>
    <row r="23" spans="1:8" x14ac:dyDescent="0.25">
      <c r="A23" s="29">
        <v>180</v>
      </c>
      <c r="B23" s="29">
        <f t="shared" si="3"/>
        <v>1.180559237666071</v>
      </c>
      <c r="C23" s="30">
        <f t="shared" si="2"/>
        <v>3</v>
      </c>
      <c r="F23" s="29"/>
      <c r="G23" s="29"/>
      <c r="H23" s="29"/>
    </row>
    <row r="24" spans="1:8" x14ac:dyDescent="0.25">
      <c r="A24" s="29">
        <v>360</v>
      </c>
      <c r="B24" s="29">
        <f t="shared" si="3"/>
        <v>0.63372762275437344</v>
      </c>
      <c r="C24" s="30">
        <f t="shared" si="2"/>
        <v>6</v>
      </c>
      <c r="F24" s="29"/>
      <c r="G24" s="33"/>
      <c r="H24" s="33"/>
    </row>
    <row r="25" spans="1:8" x14ac:dyDescent="0.25">
      <c r="A25" s="29">
        <v>840</v>
      </c>
      <c r="B25" s="29">
        <f t="shared" si="3"/>
        <v>0.28224946457362965</v>
      </c>
      <c r="C25" s="30">
        <f t="shared" si="2"/>
        <v>14</v>
      </c>
      <c r="F25" s="29"/>
      <c r="G25" s="9"/>
      <c r="H25" s="9"/>
    </row>
    <row r="26" spans="1:8" x14ac:dyDescent="0.25">
      <c r="A26" s="29">
        <v>1440</v>
      </c>
      <c r="B26" s="29">
        <f t="shared" si="3"/>
        <v>0.16620751405886774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252.63191</v>
      </c>
      <c r="C9" s="30">
        <v>33.656480000000002</v>
      </c>
      <c r="D9" s="30">
        <v>1.02342</v>
      </c>
      <c r="E9" s="29"/>
      <c r="F9" s="29"/>
      <c r="G9" s="9">
        <f t="shared" ref="G9:G14" si="0">B9/(C9+$D$4)^D9</f>
        <v>1.9224229212983024</v>
      </c>
      <c r="H9" s="9">
        <f t="shared" ref="H9:H14" si="1">B9/(C9+$D$5)^D9</f>
        <v>1.9224229212983024</v>
      </c>
      <c r="J9" s="29"/>
      <c r="K9" s="29"/>
      <c r="L9" s="30"/>
    </row>
    <row r="10" spans="1:12" x14ac:dyDescent="0.25">
      <c r="A10" s="31">
        <v>5</v>
      </c>
      <c r="B10" s="34">
        <v>263.35487999999998</v>
      </c>
      <c r="C10" s="30">
        <v>32.025089999999999</v>
      </c>
      <c r="D10" s="30">
        <v>1.0130600000000001</v>
      </c>
      <c r="E10" s="29"/>
      <c r="F10" s="29"/>
      <c r="G10" s="9">
        <f t="shared" si="0"/>
        <v>2.1354952123632662</v>
      </c>
      <c r="H10" s="9">
        <f t="shared" si="1"/>
        <v>2.1354952123632662</v>
      </c>
      <c r="J10" s="29"/>
      <c r="K10" s="29"/>
      <c r="L10" s="30"/>
    </row>
    <row r="11" spans="1:12" x14ac:dyDescent="0.25">
      <c r="A11" s="31">
        <v>10</v>
      </c>
      <c r="B11" s="34">
        <v>271.20123999999998</v>
      </c>
      <c r="C11" s="30">
        <v>30.856809999999999</v>
      </c>
      <c r="D11" s="30">
        <v>1.0055400000000001</v>
      </c>
      <c r="E11" s="29"/>
      <c r="F11" s="29"/>
      <c r="G11" s="35">
        <f t="shared" si="0"/>
        <v>2.3024759943104094</v>
      </c>
      <c r="H11" s="118">
        <f t="shared" si="1"/>
        <v>2.3024759943104094</v>
      </c>
      <c r="J11" s="29"/>
      <c r="K11" s="29"/>
      <c r="L11" s="30"/>
    </row>
    <row r="12" spans="1:12" x14ac:dyDescent="0.25">
      <c r="A12" s="31">
        <v>25</v>
      </c>
      <c r="B12" s="34">
        <v>282.27166999999997</v>
      </c>
      <c r="C12" s="30">
        <v>29.22082</v>
      </c>
      <c r="D12" s="30">
        <v>0.99494000000000005</v>
      </c>
      <c r="E12" s="29"/>
      <c r="F12" s="29"/>
      <c r="G12" s="9">
        <f t="shared" si="0"/>
        <v>2.5562840145233641</v>
      </c>
      <c r="H12" s="9">
        <f t="shared" si="1"/>
        <v>2.5562840145233641</v>
      </c>
      <c r="J12" s="29"/>
      <c r="K12" s="29"/>
      <c r="L12" s="30"/>
    </row>
    <row r="13" spans="1:12" x14ac:dyDescent="0.25">
      <c r="A13" s="31">
        <v>50</v>
      </c>
      <c r="B13" s="34">
        <v>290.40814</v>
      </c>
      <c r="C13" s="30">
        <v>28.005379999999999</v>
      </c>
      <c r="D13" s="30">
        <v>0.98716000000000004</v>
      </c>
      <c r="E13" s="29"/>
      <c r="F13" s="29"/>
      <c r="G13" s="9">
        <f t="shared" si="0"/>
        <v>2.7577746337969979</v>
      </c>
      <c r="H13" s="9">
        <f t="shared" si="1"/>
        <v>2.7577746337969979</v>
      </c>
    </row>
    <row r="14" spans="1:12" x14ac:dyDescent="0.25">
      <c r="A14" s="31">
        <v>100</v>
      </c>
      <c r="B14" s="34">
        <v>297.47764999999998</v>
      </c>
      <c r="C14" s="30">
        <v>26.91919</v>
      </c>
      <c r="D14" s="30">
        <v>0.98031000000000001</v>
      </c>
      <c r="E14" s="29"/>
      <c r="F14" s="29"/>
      <c r="G14" s="9">
        <f t="shared" si="0"/>
        <v>2.9457223408040396</v>
      </c>
      <c r="H14" s="9">
        <f t="shared" si="1"/>
        <v>2.9457223408040396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7.414940902260823</v>
      </c>
      <c r="C19" s="30">
        <f t="shared" ref="C19:C26" si="2">A19/60</f>
        <v>8.3333333333333329E-2</v>
      </c>
      <c r="F19" s="29"/>
      <c r="G19" s="29"/>
      <c r="H19" s="29"/>
    </row>
    <row r="20" spans="1:8" x14ac:dyDescent="0.25">
      <c r="A20" s="29">
        <v>10</v>
      </c>
      <c r="B20" s="29">
        <f t="shared" ref="B20:B26" si="3">$B$11/($C$11+A20)^$D$11</f>
        <v>6.5028061958617505</v>
      </c>
      <c r="C20" s="30">
        <f t="shared" si="2"/>
        <v>0.16666666666666666</v>
      </c>
      <c r="F20" s="29"/>
      <c r="G20" s="29"/>
      <c r="H20" s="29"/>
    </row>
    <row r="21" spans="1:8" x14ac:dyDescent="0.25">
      <c r="A21" s="29">
        <v>30</v>
      </c>
      <c r="B21" s="29">
        <f t="shared" si="3"/>
        <v>4.3560957201850368</v>
      </c>
      <c r="C21" s="30">
        <f t="shared" si="2"/>
        <v>0.5</v>
      </c>
      <c r="F21" s="29"/>
      <c r="G21" s="29"/>
      <c r="H21" s="29"/>
    </row>
    <row r="22" spans="1:8" x14ac:dyDescent="0.25">
      <c r="A22" s="29">
        <v>60</v>
      </c>
      <c r="B22" s="29">
        <f t="shared" si="3"/>
        <v>2.9112860934222962</v>
      </c>
      <c r="C22" s="30">
        <f t="shared" si="2"/>
        <v>1</v>
      </c>
      <c r="F22" s="29"/>
      <c r="G22" s="29"/>
      <c r="H22" s="29"/>
    </row>
    <row r="23" spans="1:8" x14ac:dyDescent="0.25">
      <c r="A23" s="29">
        <v>180</v>
      </c>
      <c r="B23" s="29">
        <f t="shared" si="3"/>
        <v>1.248616723824405</v>
      </c>
      <c r="C23" s="30">
        <f t="shared" si="2"/>
        <v>3</v>
      </c>
      <c r="F23" s="29"/>
      <c r="G23" s="29"/>
      <c r="H23" s="29"/>
    </row>
    <row r="24" spans="1:8" x14ac:dyDescent="0.25">
      <c r="A24" s="29">
        <v>360</v>
      </c>
      <c r="B24" s="29">
        <f t="shared" si="3"/>
        <v>0.67129623241012548</v>
      </c>
      <c r="C24" s="30">
        <f t="shared" si="2"/>
        <v>6</v>
      </c>
      <c r="F24" s="29"/>
      <c r="G24" s="33"/>
      <c r="H24" s="33"/>
    </row>
    <row r="25" spans="1:8" x14ac:dyDescent="0.25">
      <c r="A25" s="29">
        <v>840</v>
      </c>
      <c r="B25" s="29">
        <f t="shared" si="3"/>
        <v>0.29995604147401278</v>
      </c>
      <c r="C25" s="30">
        <f t="shared" si="2"/>
        <v>14</v>
      </c>
      <c r="F25" s="29"/>
      <c r="G25" s="9"/>
      <c r="H25" s="9"/>
    </row>
    <row r="26" spans="1:8" x14ac:dyDescent="0.25">
      <c r="A26" s="29">
        <v>1440</v>
      </c>
      <c r="B26" s="29">
        <f t="shared" si="3"/>
        <v>0.17708139529933728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240.11064999999999</v>
      </c>
      <c r="C9" s="30">
        <v>35.64002</v>
      </c>
      <c r="D9" s="30">
        <v>1.0357499999999999</v>
      </c>
      <c r="E9" s="29"/>
      <c r="F9" s="29"/>
      <c r="G9" s="9">
        <f t="shared" ref="G9:G14" si="0">B9/(C9+$D$4)^D9</f>
        <v>1.6932420204299756</v>
      </c>
      <c r="H9" s="9">
        <f t="shared" ref="H9:H14" si="1">B9/(C9+$D$5)^D9</f>
        <v>1.6932420204299756</v>
      </c>
      <c r="J9" s="29"/>
      <c r="K9" s="29"/>
      <c r="L9" s="30"/>
    </row>
    <row r="10" spans="1:12" x14ac:dyDescent="0.25">
      <c r="A10" s="31">
        <v>5</v>
      </c>
      <c r="B10" s="34">
        <v>255.19143</v>
      </c>
      <c r="C10" s="30">
        <v>33.262779999999999</v>
      </c>
      <c r="D10" s="30">
        <v>1.02094</v>
      </c>
      <c r="E10" s="29"/>
      <c r="F10" s="29"/>
      <c r="G10" s="9">
        <f t="shared" si="0"/>
        <v>1.9717349136604512</v>
      </c>
      <c r="H10" s="9">
        <f t="shared" si="1"/>
        <v>1.9717349136604512</v>
      </c>
      <c r="J10" s="29"/>
      <c r="K10" s="29"/>
      <c r="L10" s="30"/>
    </row>
    <row r="11" spans="1:12" x14ac:dyDescent="0.25">
      <c r="A11" s="31">
        <v>10</v>
      </c>
      <c r="B11" s="34">
        <v>265.20096000000001</v>
      </c>
      <c r="C11" s="30">
        <v>31.748999999999999</v>
      </c>
      <c r="D11" s="30">
        <v>1.01128</v>
      </c>
      <c r="E11" s="29"/>
      <c r="F11" s="29"/>
      <c r="G11" s="35">
        <f t="shared" si="0"/>
        <v>2.1739715615713111</v>
      </c>
      <c r="H11" s="118">
        <f t="shared" si="1"/>
        <v>2.1739715615713111</v>
      </c>
      <c r="J11" s="29"/>
      <c r="K11" s="29"/>
      <c r="L11" s="30"/>
    </row>
    <row r="12" spans="1:12" x14ac:dyDescent="0.25">
      <c r="A12" s="31">
        <v>25</v>
      </c>
      <c r="B12" s="34">
        <v>278.49725000000001</v>
      </c>
      <c r="C12" s="30">
        <v>29.778949999999998</v>
      </c>
      <c r="D12" s="30">
        <v>0.99856999999999996</v>
      </c>
      <c r="E12" s="29"/>
      <c r="F12" s="29"/>
      <c r="G12" s="9">
        <f t="shared" si="0"/>
        <v>2.4670263681939839</v>
      </c>
      <c r="H12" s="9">
        <f t="shared" si="1"/>
        <v>2.4670263681939839</v>
      </c>
      <c r="J12" s="29"/>
      <c r="K12" s="29"/>
      <c r="L12" s="30"/>
    </row>
    <row r="13" spans="1:12" x14ac:dyDescent="0.25">
      <c r="A13" s="31">
        <v>50</v>
      </c>
      <c r="B13" s="34">
        <v>287.80007000000001</v>
      </c>
      <c r="C13" s="30">
        <v>28.398219999999998</v>
      </c>
      <c r="D13" s="30">
        <v>0.98967000000000005</v>
      </c>
      <c r="E13" s="29"/>
      <c r="F13" s="29"/>
      <c r="G13" s="9">
        <f t="shared" si="0"/>
        <v>2.6914851710741692</v>
      </c>
      <c r="H13" s="9">
        <f t="shared" si="1"/>
        <v>2.6914851710741692</v>
      </c>
    </row>
    <row r="14" spans="1:12" x14ac:dyDescent="0.25">
      <c r="A14" s="31">
        <v>100</v>
      </c>
      <c r="B14" s="34">
        <v>295.94022000000001</v>
      </c>
      <c r="C14" s="30">
        <v>27.160820000000001</v>
      </c>
      <c r="D14" s="30">
        <v>0.98180999999999996</v>
      </c>
      <c r="E14" s="29"/>
      <c r="F14" s="29"/>
      <c r="G14" s="9">
        <f t="shared" si="0"/>
        <v>2.9036601020739372</v>
      </c>
      <c r="H14" s="9">
        <f t="shared" si="1"/>
        <v>2.9036601020739372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6.9290484264143686</v>
      </c>
      <c r="C19" s="30">
        <f t="shared" ref="C19:C26" si="2">A19/60</f>
        <v>8.3333333333333329E-2</v>
      </c>
      <c r="F19" s="29"/>
      <c r="G19" s="29"/>
      <c r="H19" s="29"/>
    </row>
    <row r="20" spans="1:8" x14ac:dyDescent="0.25">
      <c r="A20" s="29">
        <v>10</v>
      </c>
      <c r="B20" s="29">
        <f t="shared" ref="B20:B26" si="3">$B$11/($C$11+A20)^$D$11</f>
        <v>6.0904323928703068</v>
      </c>
      <c r="C20" s="30">
        <f t="shared" si="2"/>
        <v>0.16666666666666666</v>
      </c>
      <c r="F20" s="29"/>
      <c r="G20" s="29"/>
      <c r="H20" s="29"/>
    </row>
    <row r="21" spans="1:8" x14ac:dyDescent="0.25">
      <c r="A21" s="29">
        <v>30</v>
      </c>
      <c r="B21" s="29">
        <f t="shared" si="3"/>
        <v>4.0996507198443473</v>
      </c>
      <c r="C21" s="30">
        <f t="shared" si="2"/>
        <v>0.5</v>
      </c>
      <c r="F21" s="29"/>
      <c r="G21" s="29"/>
      <c r="H21" s="29"/>
    </row>
    <row r="22" spans="1:8" x14ac:dyDescent="0.25">
      <c r="A22" s="29">
        <v>60</v>
      </c>
      <c r="B22" s="29">
        <f t="shared" si="3"/>
        <v>2.7468542071176776</v>
      </c>
      <c r="C22" s="30">
        <f t="shared" si="2"/>
        <v>1</v>
      </c>
      <c r="F22" s="29"/>
      <c r="G22" s="29"/>
      <c r="H22" s="29"/>
    </row>
    <row r="23" spans="1:8" x14ac:dyDescent="0.25">
      <c r="A23" s="29">
        <v>180</v>
      </c>
      <c r="B23" s="29">
        <f t="shared" si="3"/>
        <v>1.1790126336620397</v>
      </c>
      <c r="C23" s="30">
        <f t="shared" si="2"/>
        <v>3</v>
      </c>
      <c r="F23" s="29"/>
      <c r="G23" s="29"/>
      <c r="H23" s="29"/>
    </row>
    <row r="24" spans="1:8" x14ac:dyDescent="0.25">
      <c r="A24" s="29">
        <v>360</v>
      </c>
      <c r="B24" s="29">
        <f t="shared" si="3"/>
        <v>0.63287518336656423</v>
      </c>
      <c r="C24" s="30">
        <f t="shared" si="2"/>
        <v>6</v>
      </c>
      <c r="F24" s="29"/>
      <c r="G24" s="33"/>
      <c r="H24" s="33"/>
    </row>
    <row r="25" spans="1:8" x14ac:dyDescent="0.25">
      <c r="A25" s="29">
        <v>840</v>
      </c>
      <c r="B25" s="29">
        <f t="shared" si="3"/>
        <v>0.2818486885207292</v>
      </c>
      <c r="C25" s="30">
        <f t="shared" si="2"/>
        <v>14</v>
      </c>
      <c r="F25" s="29"/>
      <c r="G25" s="9"/>
      <c r="H25" s="9"/>
    </row>
    <row r="26" spans="1:8" x14ac:dyDescent="0.25">
      <c r="A26" s="29">
        <v>1440</v>
      </c>
      <c r="B26" s="29">
        <f t="shared" si="3"/>
        <v>0.16596181576819496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159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243.38820000000001</v>
      </c>
      <c r="C9" s="30">
        <v>35.111159999999998</v>
      </c>
      <c r="D9" s="30">
        <v>1.0324899999999999</v>
      </c>
      <c r="E9" s="29"/>
      <c r="F9" s="29"/>
      <c r="G9" s="9">
        <f t="shared" ref="G9:G14" si="0">B9/(C9+$D$4)^D9</f>
        <v>1.7513306339810331</v>
      </c>
      <c r="H9" s="9">
        <f t="shared" ref="H9:H14" si="1">B9/(C9+$D$5)^D9</f>
        <v>1.7513306339810331</v>
      </c>
      <c r="J9" s="29"/>
      <c r="K9" s="29"/>
      <c r="L9" s="30"/>
    </row>
    <row r="10" spans="1:12" x14ac:dyDescent="0.25">
      <c r="A10" s="31">
        <v>5</v>
      </c>
      <c r="B10" s="34">
        <v>257.20585</v>
      </c>
      <c r="C10" s="30">
        <v>32.954790000000003</v>
      </c>
      <c r="D10" s="30">
        <v>1.01898</v>
      </c>
      <c r="E10" s="29"/>
      <c r="F10" s="29"/>
      <c r="G10" s="9">
        <f t="shared" si="0"/>
        <v>2.0113285689590281</v>
      </c>
      <c r="H10" s="9">
        <f t="shared" si="1"/>
        <v>2.0113285689590281</v>
      </c>
      <c r="J10" s="29"/>
      <c r="K10" s="29"/>
      <c r="L10" s="30"/>
    </row>
    <row r="11" spans="1:12" x14ac:dyDescent="0.25">
      <c r="A11" s="31">
        <v>10</v>
      </c>
      <c r="B11" s="34">
        <v>266.59332999999998</v>
      </c>
      <c r="C11" s="30">
        <v>31.54121</v>
      </c>
      <c r="D11" s="30">
        <v>1.0099499999999999</v>
      </c>
      <c r="E11" s="29"/>
      <c r="F11" s="29"/>
      <c r="G11" s="35">
        <f t="shared" si="0"/>
        <v>2.2032351544680973</v>
      </c>
      <c r="H11" s="118">
        <f t="shared" si="1"/>
        <v>2.2032351544680973</v>
      </c>
      <c r="J11" s="29"/>
      <c r="K11" s="29"/>
      <c r="L11" s="30"/>
    </row>
    <row r="12" spans="1:12" x14ac:dyDescent="0.25">
      <c r="A12" s="31">
        <v>25</v>
      </c>
      <c r="B12" s="34">
        <v>279.10068000000001</v>
      </c>
      <c r="C12" s="30">
        <v>29.689830000000001</v>
      </c>
      <c r="D12" s="30">
        <v>0.99799000000000004</v>
      </c>
      <c r="E12" s="29"/>
      <c r="F12" s="29"/>
      <c r="G12" s="9">
        <f t="shared" si="0"/>
        <v>2.4811099341912088</v>
      </c>
      <c r="H12" s="9">
        <f t="shared" si="1"/>
        <v>2.4811099341912088</v>
      </c>
      <c r="J12" s="29"/>
      <c r="K12" s="29"/>
      <c r="L12" s="30"/>
    </row>
    <row r="13" spans="1:12" x14ac:dyDescent="0.25">
      <c r="A13" s="31">
        <v>50</v>
      </c>
      <c r="B13" s="34">
        <v>287.98860000000002</v>
      </c>
      <c r="C13" s="30">
        <v>28.369949999999999</v>
      </c>
      <c r="D13" s="30">
        <v>0.98948999999999998</v>
      </c>
      <c r="E13" s="29"/>
      <c r="F13" s="29"/>
      <c r="G13" s="9">
        <f t="shared" si="0"/>
        <v>2.6962096605545258</v>
      </c>
      <c r="H13" s="9">
        <f t="shared" si="1"/>
        <v>2.6962096605545258</v>
      </c>
    </row>
    <row r="14" spans="1:12" x14ac:dyDescent="0.25">
      <c r="A14" s="31">
        <v>100</v>
      </c>
      <c r="B14" s="34">
        <v>295.95202</v>
      </c>
      <c r="C14" s="30">
        <v>27.15897</v>
      </c>
      <c r="D14" s="30">
        <v>0.98180000000000001</v>
      </c>
      <c r="E14" s="29"/>
      <c r="F14" s="29"/>
      <c r="G14" s="9">
        <f t="shared" si="0"/>
        <v>2.9039601493211098</v>
      </c>
      <c r="H14" s="9">
        <f t="shared" si="1"/>
        <v>2.9039601493211098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7.0390923849433369</v>
      </c>
      <c r="C19" s="30">
        <f t="shared" ref="C19:C26" si="2">A19/60</f>
        <v>8.3333333333333329E-2</v>
      </c>
      <c r="F19" s="29"/>
      <c r="G19" s="29"/>
      <c r="H19" s="29"/>
    </row>
    <row r="20" spans="1:8" x14ac:dyDescent="0.25">
      <c r="A20" s="29">
        <v>10</v>
      </c>
      <c r="B20" s="29">
        <f t="shared" ref="B20:B26" si="3">$B$11/($C$11+A20)^$D$11</f>
        <v>6.1839542735017048</v>
      </c>
      <c r="C20" s="30">
        <f t="shared" si="2"/>
        <v>0.16666666666666666</v>
      </c>
      <c r="F20" s="29"/>
      <c r="G20" s="29"/>
      <c r="H20" s="29"/>
    </row>
    <row r="21" spans="1:8" x14ac:dyDescent="0.25">
      <c r="A21" s="29">
        <v>30</v>
      </c>
      <c r="B21" s="29">
        <f t="shared" si="3"/>
        <v>4.1579670794421162</v>
      </c>
      <c r="C21" s="30">
        <f t="shared" si="2"/>
        <v>0.5</v>
      </c>
      <c r="F21" s="29"/>
      <c r="G21" s="29"/>
      <c r="H21" s="29"/>
    </row>
    <row r="22" spans="1:8" x14ac:dyDescent="0.25">
      <c r="A22" s="29">
        <v>60</v>
      </c>
      <c r="B22" s="29">
        <f t="shared" si="3"/>
        <v>2.7842904969633384</v>
      </c>
      <c r="C22" s="30">
        <f t="shared" si="2"/>
        <v>1</v>
      </c>
      <c r="F22" s="29"/>
      <c r="G22" s="29"/>
      <c r="H22" s="29"/>
    </row>
    <row r="23" spans="1:8" x14ac:dyDescent="0.25">
      <c r="A23" s="29">
        <v>180</v>
      </c>
      <c r="B23" s="29">
        <f t="shared" si="3"/>
        <v>1.194858879053696</v>
      </c>
      <c r="C23" s="30">
        <f t="shared" si="2"/>
        <v>3</v>
      </c>
      <c r="F23" s="29"/>
      <c r="G23" s="29"/>
      <c r="H23" s="29"/>
    </row>
    <row r="24" spans="1:8" x14ac:dyDescent="0.25">
      <c r="A24" s="29">
        <v>360</v>
      </c>
      <c r="B24" s="29">
        <f t="shared" si="3"/>
        <v>0.64161375362844619</v>
      </c>
      <c r="C24" s="30">
        <f t="shared" si="2"/>
        <v>6</v>
      </c>
      <c r="F24" s="29"/>
      <c r="G24" s="33"/>
      <c r="H24" s="33"/>
    </row>
    <row r="25" spans="1:8" x14ac:dyDescent="0.25">
      <c r="A25" s="29">
        <v>840</v>
      </c>
      <c r="B25" s="29">
        <f t="shared" si="3"/>
        <v>0.28596013105164159</v>
      </c>
      <c r="C25" s="30">
        <f t="shared" si="2"/>
        <v>14</v>
      </c>
      <c r="F25" s="29"/>
      <c r="G25" s="9"/>
      <c r="H25" s="9"/>
    </row>
    <row r="26" spans="1:8" x14ac:dyDescent="0.25">
      <c r="A26" s="29">
        <v>1440</v>
      </c>
      <c r="B26" s="29">
        <f t="shared" si="3"/>
        <v>0.16848355397260789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160</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241.66730999999999</v>
      </c>
      <c r="C9" s="30">
        <v>35.387729999999998</v>
      </c>
      <c r="D9" s="30">
        <v>1.0342</v>
      </c>
      <c r="E9" s="29"/>
      <c r="F9" s="29"/>
      <c r="G9" s="9">
        <f t="shared" ref="G9:G14" si="0">B9/(C9+$D$4)^D9</f>
        <v>1.7206583828104993</v>
      </c>
      <c r="H9" s="9">
        <f t="shared" ref="H9:H14" si="1">B9/(C9+$D$5)^D9</f>
        <v>1.7206583828104993</v>
      </c>
      <c r="J9" s="29"/>
      <c r="K9" s="29"/>
      <c r="L9" s="30"/>
    </row>
    <row r="10" spans="1:12" x14ac:dyDescent="0.25">
      <c r="A10" s="31">
        <v>5</v>
      </c>
      <c r="B10" s="34">
        <v>255.60579000000001</v>
      </c>
      <c r="C10" s="30">
        <v>33.199210000000001</v>
      </c>
      <c r="D10" s="30">
        <v>1.0205299999999999</v>
      </c>
      <c r="E10" s="29"/>
      <c r="F10" s="29"/>
      <c r="G10" s="9">
        <f t="shared" si="0"/>
        <v>1.9798937600609583</v>
      </c>
      <c r="H10" s="9">
        <f t="shared" si="1"/>
        <v>1.9798937600609583</v>
      </c>
      <c r="J10" s="29"/>
      <c r="K10" s="29"/>
      <c r="L10" s="30"/>
    </row>
    <row r="11" spans="1:12" x14ac:dyDescent="0.25">
      <c r="A11" s="31">
        <v>10</v>
      </c>
      <c r="B11" s="34">
        <v>265.91649999999998</v>
      </c>
      <c r="C11" s="30">
        <v>31.642119999999998</v>
      </c>
      <c r="D11" s="30">
        <v>1.0105999999999999</v>
      </c>
      <c r="E11" s="29"/>
      <c r="F11" s="29"/>
      <c r="G11" s="35">
        <f t="shared" si="0"/>
        <v>2.1889347661870868</v>
      </c>
      <c r="H11" s="118">
        <f t="shared" si="1"/>
        <v>2.1889347661870868</v>
      </c>
      <c r="J11" s="29"/>
      <c r="K11" s="29"/>
      <c r="L11" s="30"/>
    </row>
    <row r="12" spans="1:12" x14ac:dyDescent="0.25">
      <c r="A12" s="31">
        <v>25</v>
      </c>
      <c r="B12" s="34">
        <v>279.12966999999998</v>
      </c>
      <c r="C12" s="30">
        <v>29.68554</v>
      </c>
      <c r="D12" s="30">
        <v>0.99797000000000002</v>
      </c>
      <c r="E12" s="29"/>
      <c r="F12" s="29"/>
      <c r="G12" s="9">
        <f t="shared" si="0"/>
        <v>2.4816960692036245</v>
      </c>
      <c r="H12" s="9">
        <f t="shared" si="1"/>
        <v>2.4816960692036245</v>
      </c>
      <c r="J12" s="29"/>
      <c r="K12" s="29"/>
      <c r="L12" s="30"/>
    </row>
    <row r="13" spans="1:12" x14ac:dyDescent="0.25">
      <c r="A13" s="31">
        <v>50</v>
      </c>
      <c r="B13" s="34">
        <v>287.73534999999998</v>
      </c>
      <c r="C13" s="30">
        <v>28.407810000000001</v>
      </c>
      <c r="D13" s="30">
        <v>0.98973</v>
      </c>
      <c r="E13" s="29"/>
      <c r="F13" s="29"/>
      <c r="G13" s="9">
        <f t="shared" si="0"/>
        <v>2.6898904128024634</v>
      </c>
      <c r="H13" s="9">
        <f t="shared" si="1"/>
        <v>2.6898904128024634</v>
      </c>
    </row>
    <row r="14" spans="1:12" x14ac:dyDescent="0.25">
      <c r="A14" s="31">
        <v>100</v>
      </c>
      <c r="B14" s="34">
        <v>296.11192</v>
      </c>
      <c r="C14" s="30">
        <v>27.133880000000001</v>
      </c>
      <c r="D14" s="30">
        <v>0.98163999999999996</v>
      </c>
      <c r="E14" s="29"/>
      <c r="F14" s="29"/>
      <c r="G14" s="9">
        <f t="shared" si="0"/>
        <v>2.9083646150190812</v>
      </c>
      <c r="H14" s="9">
        <f t="shared" si="1"/>
        <v>2.9083646150190812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6.9853231028475165</v>
      </c>
      <c r="C19" s="30">
        <f t="shared" ref="C19:C26" si="2">A19/60</f>
        <v>8.3333333333333329E-2</v>
      </c>
      <c r="F19" s="29"/>
      <c r="G19" s="29"/>
      <c r="H19" s="29"/>
    </row>
    <row r="20" spans="1:8" x14ac:dyDescent="0.25">
      <c r="A20" s="29">
        <v>10</v>
      </c>
      <c r="B20" s="29">
        <f t="shared" ref="B20:B26" si="3">$B$11/($C$11+A20)^$D$11</f>
        <v>6.138261789143737</v>
      </c>
      <c r="C20" s="30">
        <f t="shared" si="2"/>
        <v>0.16666666666666666</v>
      </c>
      <c r="F20" s="29"/>
      <c r="G20" s="29"/>
      <c r="H20" s="29"/>
    </row>
    <row r="21" spans="1:8" x14ac:dyDescent="0.25">
      <c r="A21" s="29">
        <v>30</v>
      </c>
      <c r="B21" s="29">
        <f t="shared" si="3"/>
        <v>4.1294766728261481</v>
      </c>
      <c r="C21" s="30">
        <f t="shared" si="2"/>
        <v>0.5</v>
      </c>
      <c r="F21" s="29"/>
      <c r="G21" s="29"/>
      <c r="H21" s="29"/>
    </row>
    <row r="22" spans="1:8" x14ac:dyDescent="0.25">
      <c r="A22" s="29">
        <v>60</v>
      </c>
      <c r="B22" s="29">
        <f t="shared" si="3"/>
        <v>2.765998563495943</v>
      </c>
      <c r="C22" s="30">
        <f t="shared" si="2"/>
        <v>1</v>
      </c>
      <c r="F22" s="29"/>
      <c r="G22" s="29"/>
      <c r="H22" s="29"/>
    </row>
    <row r="23" spans="1:8" x14ac:dyDescent="0.25">
      <c r="A23" s="29">
        <v>180</v>
      </c>
      <c r="B23" s="29">
        <f t="shared" si="3"/>
        <v>1.1871122880481337</v>
      </c>
      <c r="C23" s="30">
        <f t="shared" si="2"/>
        <v>3</v>
      </c>
      <c r="F23" s="29"/>
      <c r="G23" s="29"/>
      <c r="H23" s="29"/>
    </row>
    <row r="24" spans="1:8" x14ac:dyDescent="0.25">
      <c r="A24" s="29">
        <v>360</v>
      </c>
      <c r="B24" s="29">
        <f t="shared" si="3"/>
        <v>0.63734013145131629</v>
      </c>
      <c r="C24" s="30">
        <f t="shared" si="2"/>
        <v>6</v>
      </c>
      <c r="F24" s="29"/>
      <c r="G24" s="33"/>
      <c r="H24" s="33"/>
    </row>
    <row r="25" spans="1:8" x14ac:dyDescent="0.25">
      <c r="A25" s="29">
        <v>840</v>
      </c>
      <c r="B25" s="29">
        <f t="shared" si="3"/>
        <v>0.28394844365702615</v>
      </c>
      <c r="C25" s="30">
        <f t="shared" si="2"/>
        <v>14</v>
      </c>
      <c r="F25" s="29"/>
      <c r="G25" s="9"/>
      <c r="H25" s="9"/>
    </row>
    <row r="26" spans="1:8" x14ac:dyDescent="0.25">
      <c r="A26" s="29">
        <v>1440</v>
      </c>
      <c r="B26" s="29">
        <f t="shared" si="3"/>
        <v>0.1672493248194348</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161</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248.70837</v>
      </c>
      <c r="C9" s="30">
        <v>34.267299999999999</v>
      </c>
      <c r="D9" s="30">
        <v>1.02725</v>
      </c>
      <c r="E9" s="29"/>
      <c r="F9" s="29"/>
      <c r="G9" s="9">
        <f t="shared" ref="G9:G14" si="0">B9/(C9+$D$4)^D9</f>
        <v>1.8484592545148717</v>
      </c>
      <c r="H9" s="9">
        <f t="shared" ref="H9:H14" si="1">B9/(C9+$D$5)^D9</f>
        <v>1.8484592545148717</v>
      </c>
      <c r="J9" s="29"/>
      <c r="K9" s="29"/>
      <c r="L9" s="30"/>
    </row>
    <row r="10" spans="1:12" x14ac:dyDescent="0.25">
      <c r="A10" s="31">
        <v>5</v>
      </c>
      <c r="B10" s="34">
        <v>260.21913999999998</v>
      </c>
      <c r="C10" s="30">
        <v>32.497070000000001</v>
      </c>
      <c r="D10" s="30">
        <v>1.01607</v>
      </c>
      <c r="E10" s="29"/>
      <c r="F10" s="29"/>
      <c r="G10" s="9">
        <f t="shared" si="0"/>
        <v>2.0715252412980769</v>
      </c>
      <c r="H10" s="9">
        <f t="shared" si="1"/>
        <v>2.0715252412980769</v>
      </c>
      <c r="J10" s="29"/>
      <c r="K10" s="29"/>
      <c r="L10" s="30"/>
    </row>
    <row r="11" spans="1:12" x14ac:dyDescent="0.25">
      <c r="A11" s="31">
        <v>10</v>
      </c>
      <c r="B11" s="34">
        <v>268.83895999999999</v>
      </c>
      <c r="C11" s="30">
        <v>31.20702</v>
      </c>
      <c r="D11" s="30">
        <v>1.0078</v>
      </c>
      <c r="E11" s="29"/>
      <c r="F11" s="29"/>
      <c r="G11" s="35">
        <f t="shared" si="0"/>
        <v>2.2511623009373856</v>
      </c>
      <c r="H11" s="118">
        <f t="shared" si="1"/>
        <v>2.2511623009373856</v>
      </c>
      <c r="J11" s="29"/>
      <c r="K11" s="29"/>
      <c r="L11" s="30"/>
    </row>
    <row r="12" spans="1:12" x14ac:dyDescent="0.25">
      <c r="A12" s="31">
        <v>25</v>
      </c>
      <c r="B12" s="34">
        <v>280.74806000000001</v>
      </c>
      <c r="C12" s="30">
        <v>29.446339999999999</v>
      </c>
      <c r="D12" s="30">
        <v>0.99641999999999997</v>
      </c>
      <c r="E12" s="29"/>
      <c r="F12" s="29"/>
      <c r="G12" s="9">
        <f t="shared" si="0"/>
        <v>2.5197498342634743</v>
      </c>
      <c r="H12" s="9">
        <f t="shared" si="1"/>
        <v>2.5197498342634743</v>
      </c>
      <c r="J12" s="29"/>
      <c r="K12" s="29"/>
      <c r="L12" s="30"/>
    </row>
    <row r="13" spans="1:12" x14ac:dyDescent="0.25">
      <c r="A13" s="31">
        <v>50</v>
      </c>
      <c r="B13" s="34">
        <v>289.11743999999999</v>
      </c>
      <c r="C13" s="30">
        <v>28.200089999999999</v>
      </c>
      <c r="D13" s="30">
        <v>0.98839999999999995</v>
      </c>
      <c r="E13" s="29"/>
      <c r="F13" s="29"/>
      <c r="G13" s="9">
        <f t="shared" si="0"/>
        <v>2.7248174984630866</v>
      </c>
      <c r="H13" s="9">
        <f t="shared" si="1"/>
        <v>2.7248174984630866</v>
      </c>
    </row>
    <row r="14" spans="1:12" x14ac:dyDescent="0.25">
      <c r="A14" s="31">
        <v>100</v>
      </c>
      <c r="B14" s="34">
        <v>296.42743999999999</v>
      </c>
      <c r="C14" s="30">
        <v>27.08362</v>
      </c>
      <c r="D14" s="30">
        <v>0.98133000000000004</v>
      </c>
      <c r="E14" s="29"/>
      <c r="F14" s="29"/>
      <c r="G14" s="9">
        <f t="shared" si="0"/>
        <v>2.9170134265343877</v>
      </c>
      <c r="H14" s="9">
        <f t="shared" si="1"/>
        <v>2.9170134265343877</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7.2200605721377649</v>
      </c>
      <c r="C19" s="30">
        <f t="shared" ref="C19:C26" si="2">A19/60</f>
        <v>8.3333333333333329E-2</v>
      </c>
      <c r="F19" s="29"/>
      <c r="G19" s="29"/>
      <c r="H19" s="29"/>
    </row>
    <row r="20" spans="1:8" x14ac:dyDescent="0.25">
      <c r="A20" s="29">
        <v>10</v>
      </c>
      <c r="B20" s="29">
        <f t="shared" ref="B20:B26" si="3">$B$11/($C$11+A20)^$D$11</f>
        <v>6.3375912112174753</v>
      </c>
      <c r="C20" s="30">
        <f t="shared" si="2"/>
        <v>0.16666666666666666</v>
      </c>
      <c r="F20" s="29"/>
      <c r="G20" s="29"/>
      <c r="H20" s="29"/>
    </row>
    <row r="21" spans="1:8" x14ac:dyDescent="0.25">
      <c r="A21" s="29">
        <v>30</v>
      </c>
      <c r="B21" s="29">
        <f t="shared" si="3"/>
        <v>4.2535733038908683</v>
      </c>
      <c r="C21" s="30">
        <f t="shared" si="2"/>
        <v>0.5</v>
      </c>
      <c r="F21" s="29"/>
      <c r="G21" s="29"/>
      <c r="H21" s="29"/>
    </row>
    <row r="22" spans="1:8" x14ac:dyDescent="0.25">
      <c r="A22" s="29">
        <v>60</v>
      </c>
      <c r="B22" s="29">
        <f t="shared" si="3"/>
        <v>2.8456122378113675</v>
      </c>
      <c r="C22" s="30">
        <f t="shared" si="2"/>
        <v>1</v>
      </c>
      <c r="F22" s="29"/>
      <c r="G22" s="29"/>
      <c r="H22" s="29"/>
    </row>
    <row r="23" spans="1:8" x14ac:dyDescent="0.25">
      <c r="A23" s="29">
        <v>180</v>
      </c>
      <c r="B23" s="29">
        <f t="shared" si="3"/>
        <v>1.2208185863293179</v>
      </c>
      <c r="C23" s="30">
        <f t="shared" si="2"/>
        <v>3</v>
      </c>
      <c r="F23" s="29"/>
      <c r="G23" s="29"/>
      <c r="H23" s="29"/>
    </row>
    <row r="24" spans="1:8" x14ac:dyDescent="0.25">
      <c r="A24" s="29">
        <v>360</v>
      </c>
      <c r="B24" s="29">
        <f t="shared" si="3"/>
        <v>0.65594102706338409</v>
      </c>
      <c r="C24" s="30">
        <f t="shared" si="2"/>
        <v>6</v>
      </c>
      <c r="F24" s="29"/>
      <c r="G24" s="33"/>
      <c r="H24" s="33"/>
    </row>
    <row r="25" spans="1:8" x14ac:dyDescent="0.25">
      <c r="A25" s="29">
        <v>840</v>
      </c>
      <c r="B25" s="29">
        <f t="shared" si="3"/>
        <v>0.2927102251729205</v>
      </c>
      <c r="C25" s="30">
        <f t="shared" si="2"/>
        <v>14</v>
      </c>
      <c r="F25" s="29"/>
      <c r="G25" s="9"/>
      <c r="H25" s="9"/>
    </row>
    <row r="26" spans="1:8" x14ac:dyDescent="0.25">
      <c r="A26" s="29">
        <v>1440</v>
      </c>
      <c r="B26" s="29">
        <f t="shared" si="3"/>
        <v>0.17262773114090899</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162</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241.75727000000001</v>
      </c>
      <c r="C9" s="30">
        <v>35.373510000000003</v>
      </c>
      <c r="D9" s="30">
        <v>1.0341100000000001</v>
      </c>
      <c r="E9" s="29"/>
      <c r="F9" s="29"/>
      <c r="G9" s="9">
        <f t="shared" ref="G9:G14" si="0">B9/(C9+$D$4)^D9</f>
        <v>1.7222521135290108</v>
      </c>
      <c r="H9" s="9">
        <f t="shared" ref="H9:H14" si="1">B9/(C9+$D$5)^D9</f>
        <v>1.7222521135290108</v>
      </c>
      <c r="J9" s="29"/>
      <c r="K9" s="29"/>
      <c r="L9" s="30"/>
    </row>
    <row r="10" spans="1:12" x14ac:dyDescent="0.25">
      <c r="A10" s="31">
        <v>5</v>
      </c>
      <c r="B10" s="34">
        <v>255.90621999999999</v>
      </c>
      <c r="C10" s="30">
        <v>33.153260000000003</v>
      </c>
      <c r="D10" s="30">
        <v>1.02024</v>
      </c>
      <c r="E10" s="29"/>
      <c r="F10" s="29"/>
      <c r="G10" s="9">
        <f t="shared" si="0"/>
        <v>1.9857557726655746</v>
      </c>
      <c r="H10" s="9">
        <f t="shared" si="1"/>
        <v>1.9857557726655746</v>
      </c>
      <c r="J10" s="29"/>
      <c r="K10" s="29"/>
      <c r="L10" s="30"/>
    </row>
    <row r="11" spans="1:12" x14ac:dyDescent="0.25">
      <c r="A11" s="31">
        <v>10</v>
      </c>
      <c r="B11" s="34">
        <v>265.82508000000001</v>
      </c>
      <c r="C11" s="30">
        <v>31.65579</v>
      </c>
      <c r="D11" s="30">
        <v>1.01068</v>
      </c>
      <c r="E11" s="29"/>
      <c r="F11" s="29"/>
      <c r="G11" s="35">
        <f t="shared" si="0"/>
        <v>2.1870893996204388</v>
      </c>
      <c r="H11" s="118">
        <f t="shared" si="1"/>
        <v>2.1870893996204388</v>
      </c>
      <c r="J11" s="29"/>
      <c r="K11" s="29"/>
      <c r="L11" s="30"/>
    </row>
    <row r="12" spans="1:12" x14ac:dyDescent="0.25">
      <c r="A12" s="31">
        <v>25</v>
      </c>
      <c r="B12" s="34">
        <v>278.87729000000002</v>
      </c>
      <c r="C12" s="30">
        <v>29.722819999999999</v>
      </c>
      <c r="D12" s="30">
        <v>0.99821000000000004</v>
      </c>
      <c r="E12" s="29"/>
      <c r="F12" s="29"/>
      <c r="G12" s="9">
        <f t="shared" si="0"/>
        <v>2.4758264186701067</v>
      </c>
      <c r="H12" s="9">
        <f t="shared" si="1"/>
        <v>2.4758264186701067</v>
      </c>
      <c r="J12" s="29"/>
      <c r="K12" s="29"/>
      <c r="L12" s="30"/>
    </row>
    <row r="13" spans="1:12" x14ac:dyDescent="0.25">
      <c r="A13" s="31">
        <v>50</v>
      </c>
      <c r="B13" s="34">
        <v>287.70310000000001</v>
      </c>
      <c r="C13" s="30">
        <v>28.412700000000001</v>
      </c>
      <c r="D13" s="30">
        <v>0.98975999999999997</v>
      </c>
      <c r="E13" s="29"/>
      <c r="F13" s="29"/>
      <c r="G13" s="9">
        <f t="shared" si="0"/>
        <v>2.6890921103475152</v>
      </c>
      <c r="H13" s="9">
        <f t="shared" si="1"/>
        <v>2.6890921103475152</v>
      </c>
    </row>
    <row r="14" spans="1:12" x14ac:dyDescent="0.25">
      <c r="A14" s="31">
        <v>100</v>
      </c>
      <c r="B14" s="34">
        <v>295.99838</v>
      </c>
      <c r="C14" s="30">
        <v>27.151769999999999</v>
      </c>
      <c r="D14" s="30">
        <v>0.98175000000000001</v>
      </c>
      <c r="E14" s="29"/>
      <c r="F14" s="29"/>
      <c r="G14" s="9">
        <f t="shared" si="0"/>
        <v>2.9052840474418389</v>
      </c>
      <c r="H14" s="9">
        <f t="shared" si="1"/>
        <v>2.9052840474418389</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6.9782789612415357</v>
      </c>
      <c r="C19" s="30">
        <f t="shared" ref="C19:C26" si="2">A19/60</f>
        <v>8.3333333333333329E-2</v>
      </c>
      <c r="F19" s="29"/>
      <c r="G19" s="29"/>
      <c r="H19" s="29"/>
    </row>
    <row r="20" spans="1:8" x14ac:dyDescent="0.25">
      <c r="A20" s="29">
        <v>10</v>
      </c>
      <c r="B20" s="29">
        <f t="shared" ref="B20:B26" si="3">$B$11/($C$11+A20)^$D$11</f>
        <v>6.1322866146600123</v>
      </c>
      <c r="C20" s="30">
        <f t="shared" si="2"/>
        <v>0.16666666666666666</v>
      </c>
      <c r="F20" s="29"/>
      <c r="G20" s="29"/>
      <c r="H20" s="29"/>
    </row>
    <row r="21" spans="1:8" x14ac:dyDescent="0.25">
      <c r="A21" s="29">
        <v>30</v>
      </c>
      <c r="B21" s="29">
        <f t="shared" si="3"/>
        <v>4.1257714435937372</v>
      </c>
      <c r="C21" s="30">
        <f t="shared" si="2"/>
        <v>0.5</v>
      </c>
      <c r="F21" s="29"/>
      <c r="G21" s="29"/>
      <c r="H21" s="29"/>
    </row>
    <row r="22" spans="1:8" x14ac:dyDescent="0.25">
      <c r="A22" s="29">
        <v>60</v>
      </c>
      <c r="B22" s="29">
        <f t="shared" si="3"/>
        <v>2.7636317944809035</v>
      </c>
      <c r="C22" s="30">
        <f t="shared" si="2"/>
        <v>1</v>
      </c>
      <c r="F22" s="29"/>
      <c r="G22" s="29"/>
      <c r="H22" s="29"/>
    </row>
    <row r="23" spans="1:8" x14ac:dyDescent="0.25">
      <c r="A23" s="29">
        <v>180</v>
      </c>
      <c r="B23" s="29">
        <f t="shared" si="3"/>
        <v>1.1861184729704159</v>
      </c>
      <c r="C23" s="30">
        <f t="shared" si="2"/>
        <v>3</v>
      </c>
      <c r="F23" s="29"/>
      <c r="G23" s="29"/>
      <c r="H23" s="29"/>
    </row>
    <row r="24" spans="1:8" x14ac:dyDescent="0.25">
      <c r="A24" s="29">
        <v>360</v>
      </c>
      <c r="B24" s="29">
        <f t="shared" si="3"/>
        <v>0.6367943205744121</v>
      </c>
      <c r="C24" s="30">
        <f t="shared" si="2"/>
        <v>6</v>
      </c>
      <c r="F24" s="29"/>
      <c r="G24" s="33"/>
      <c r="H24" s="33"/>
    </row>
    <row r="25" spans="1:8" x14ac:dyDescent="0.25">
      <c r="A25" s="29">
        <v>840</v>
      </c>
      <c r="B25" s="29">
        <f t="shared" si="3"/>
        <v>0.28369262715287358</v>
      </c>
      <c r="C25" s="30">
        <f t="shared" si="2"/>
        <v>14</v>
      </c>
      <c r="F25" s="29"/>
      <c r="G25" s="9"/>
      <c r="H25" s="9"/>
    </row>
    <row r="26" spans="1:8" x14ac:dyDescent="0.25">
      <c r="A26" s="29">
        <v>1440</v>
      </c>
      <c r="B26" s="29">
        <f t="shared" si="3"/>
        <v>0.1670927240174124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257.70308999999997</v>
      </c>
      <c r="C9" s="30">
        <v>32.87932</v>
      </c>
      <c r="D9" s="30">
        <v>1.0185</v>
      </c>
      <c r="E9" s="29"/>
      <c r="F9" s="29"/>
      <c r="G9" s="9">
        <f t="shared" ref="G9:G14" si="0">B9/(C9+$D$4)^D9</f>
        <v>2.021157049388723</v>
      </c>
      <c r="H9" s="9">
        <f t="shared" ref="H9:H14" si="1">B9/(C9+$D$5)^D9</f>
        <v>2.021157049388723</v>
      </c>
      <c r="J9" s="29"/>
      <c r="K9" s="29"/>
      <c r="L9" s="30"/>
    </row>
    <row r="10" spans="1:12" x14ac:dyDescent="0.25">
      <c r="A10" s="31">
        <v>5</v>
      </c>
      <c r="B10" s="34">
        <v>270.87616000000003</v>
      </c>
      <c r="C10" s="30">
        <v>30.90504</v>
      </c>
      <c r="D10" s="30">
        <v>1.0058499999999999</v>
      </c>
      <c r="E10" s="29"/>
      <c r="F10" s="29"/>
      <c r="G10" s="9">
        <f t="shared" si="0"/>
        <v>2.2953669699686503</v>
      </c>
      <c r="H10" s="9">
        <f t="shared" si="1"/>
        <v>2.2953669699686503</v>
      </c>
      <c r="J10" s="29"/>
      <c r="K10" s="29"/>
      <c r="L10" s="30"/>
    </row>
    <row r="11" spans="1:12" x14ac:dyDescent="0.25">
      <c r="A11" s="31">
        <v>10</v>
      </c>
      <c r="B11" s="34">
        <v>279.22149999999999</v>
      </c>
      <c r="C11" s="30">
        <v>29.671980000000001</v>
      </c>
      <c r="D11" s="30">
        <v>0.99787999999999999</v>
      </c>
      <c r="E11" s="29"/>
      <c r="F11" s="29"/>
      <c r="G11" s="35">
        <f t="shared" si="0"/>
        <v>2.4838660309541014</v>
      </c>
      <c r="H11" s="118">
        <f t="shared" si="1"/>
        <v>2.4838660309541014</v>
      </c>
      <c r="J11" s="29"/>
      <c r="K11" s="29"/>
      <c r="L11" s="30"/>
    </row>
    <row r="12" spans="1:12" x14ac:dyDescent="0.25">
      <c r="A12" s="31">
        <v>25</v>
      </c>
      <c r="B12" s="34">
        <v>289.92786999999998</v>
      </c>
      <c r="C12" s="30">
        <v>28.093499999999999</v>
      </c>
      <c r="D12" s="30">
        <v>0.98772000000000004</v>
      </c>
      <c r="E12" s="29"/>
      <c r="F12" s="29"/>
      <c r="G12" s="9">
        <f t="shared" si="0"/>
        <v>2.7438156067196555</v>
      </c>
      <c r="H12" s="9">
        <f t="shared" si="1"/>
        <v>2.7438156067196555</v>
      </c>
      <c r="J12" s="29"/>
      <c r="K12" s="29"/>
      <c r="L12" s="30"/>
    </row>
    <row r="13" spans="1:12" x14ac:dyDescent="0.25">
      <c r="A13" s="31">
        <v>50</v>
      </c>
      <c r="B13" s="34">
        <v>297.03444999999999</v>
      </c>
      <c r="C13" s="30">
        <v>26.990010000000002</v>
      </c>
      <c r="D13" s="30">
        <v>0.98073999999999995</v>
      </c>
      <c r="E13" s="29"/>
      <c r="F13" s="29"/>
      <c r="G13" s="9">
        <f t="shared" si="0"/>
        <v>2.9335465051901171</v>
      </c>
      <c r="H13" s="9">
        <f t="shared" si="1"/>
        <v>2.9335465051901171</v>
      </c>
    </row>
    <row r="14" spans="1:12" x14ac:dyDescent="0.25">
      <c r="A14" s="31">
        <v>100</v>
      </c>
      <c r="B14" s="34">
        <v>303.39913999999999</v>
      </c>
      <c r="C14" s="30">
        <v>25.972549999999998</v>
      </c>
      <c r="D14" s="30">
        <v>0.97448000000000001</v>
      </c>
      <c r="E14" s="29"/>
      <c r="F14" s="29"/>
      <c r="G14" s="9">
        <f t="shared" si="0"/>
        <v>3.1138870052719954</v>
      </c>
      <c r="H14" s="9">
        <f t="shared" si="1"/>
        <v>3.1138870052719954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8.1139993222408719</v>
      </c>
      <c r="C19" s="30">
        <f t="shared" ref="C19:C26" si="2">A19/60</f>
        <v>8.3333333333333329E-2</v>
      </c>
      <c r="F19" s="29"/>
      <c r="G19" s="29"/>
      <c r="H19" s="29"/>
    </row>
    <row r="20" spans="1:8" x14ac:dyDescent="0.25">
      <c r="A20" s="29">
        <v>10</v>
      </c>
      <c r="B20" s="29">
        <f t="shared" ref="B20:B26" si="3">$B$11/($C$11+A20)^$D$11</f>
        <v>7.0933888069881101</v>
      </c>
      <c r="C20" s="30">
        <f t="shared" si="2"/>
        <v>0.16666666666666666</v>
      </c>
      <c r="F20" s="29"/>
      <c r="G20" s="29"/>
      <c r="H20" s="29"/>
    </row>
    <row r="21" spans="1:8" x14ac:dyDescent="0.25">
      <c r="A21" s="29">
        <v>30</v>
      </c>
      <c r="B21" s="29">
        <f t="shared" si="3"/>
        <v>4.7200113242563795</v>
      </c>
      <c r="C21" s="30">
        <f t="shared" si="2"/>
        <v>0.5</v>
      </c>
      <c r="F21" s="29"/>
      <c r="G21" s="29"/>
      <c r="H21" s="29"/>
    </row>
    <row r="22" spans="1:8" x14ac:dyDescent="0.25">
      <c r="A22" s="29">
        <v>60</v>
      </c>
      <c r="B22" s="29">
        <f t="shared" si="3"/>
        <v>3.143632202113591</v>
      </c>
      <c r="C22" s="30">
        <f t="shared" si="2"/>
        <v>1</v>
      </c>
      <c r="F22" s="29"/>
      <c r="G22" s="29"/>
      <c r="H22" s="29"/>
    </row>
    <row r="23" spans="1:8" x14ac:dyDescent="0.25">
      <c r="A23" s="29">
        <v>180</v>
      </c>
      <c r="B23" s="29">
        <f t="shared" si="3"/>
        <v>1.3468837867134253</v>
      </c>
      <c r="C23" s="30">
        <f t="shared" si="2"/>
        <v>3</v>
      </c>
      <c r="F23" s="29"/>
      <c r="G23" s="29"/>
      <c r="H23" s="29"/>
    </row>
    <row r="24" spans="1:8" x14ac:dyDescent="0.25">
      <c r="A24" s="29">
        <v>360</v>
      </c>
      <c r="B24" s="29">
        <f t="shared" si="3"/>
        <v>0.72567466285088722</v>
      </c>
      <c r="C24" s="30">
        <f t="shared" si="2"/>
        <v>6</v>
      </c>
      <c r="F24" s="29"/>
      <c r="G24" s="33"/>
      <c r="H24" s="33"/>
    </row>
    <row r="25" spans="1:8" x14ac:dyDescent="0.25">
      <c r="A25" s="29">
        <v>840</v>
      </c>
      <c r="B25" s="29">
        <f t="shared" si="3"/>
        <v>0.32570528955048439</v>
      </c>
      <c r="C25" s="30">
        <f t="shared" si="2"/>
        <v>14</v>
      </c>
      <c r="F25" s="29"/>
      <c r="G25" s="9"/>
      <c r="H25" s="9"/>
    </row>
    <row r="26" spans="1:8" x14ac:dyDescent="0.25">
      <c r="A26" s="29">
        <v>1440</v>
      </c>
      <c r="B26" s="29">
        <f t="shared" si="3"/>
        <v>0.19294918517435336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237.54922999999999</v>
      </c>
      <c r="C9" s="30">
        <v>36.058070000000001</v>
      </c>
      <c r="D9" s="30">
        <v>1.0383</v>
      </c>
      <c r="E9" s="29"/>
      <c r="F9" s="29"/>
      <c r="G9" s="9">
        <f t="shared" ref="G9:G14" si="0">B9/(C9+$D$4)^D9</f>
        <v>1.648880846538004</v>
      </c>
      <c r="H9" s="9">
        <f t="shared" ref="H9:H14" si="1">B9/(C9+$D$5)^D9</f>
        <v>1.648880846538004</v>
      </c>
      <c r="J9" s="29"/>
      <c r="K9" s="29"/>
      <c r="L9" s="30"/>
    </row>
    <row r="10" spans="1:12" x14ac:dyDescent="0.25">
      <c r="A10" s="31">
        <v>5</v>
      </c>
      <c r="B10" s="34">
        <v>253.72864999999999</v>
      </c>
      <c r="C10" s="30">
        <v>33.487439999999999</v>
      </c>
      <c r="D10" s="30">
        <v>1.0223599999999999</v>
      </c>
      <c r="E10" s="29"/>
      <c r="F10" s="29"/>
      <c r="G10" s="9">
        <f t="shared" si="0"/>
        <v>1.9434065111196328</v>
      </c>
      <c r="H10" s="9">
        <f t="shared" si="1"/>
        <v>1.9434065111196328</v>
      </c>
      <c r="J10" s="29"/>
      <c r="K10" s="29"/>
      <c r="L10" s="30"/>
    </row>
    <row r="11" spans="1:12" x14ac:dyDescent="0.25">
      <c r="A11" s="31">
        <v>10</v>
      </c>
      <c r="B11" s="34">
        <v>263.58690999999999</v>
      </c>
      <c r="C11" s="30">
        <v>31.99044</v>
      </c>
      <c r="D11" s="30">
        <v>1.0128299999999999</v>
      </c>
      <c r="E11" s="29"/>
      <c r="F11" s="29"/>
      <c r="G11" s="35">
        <f t="shared" si="0"/>
        <v>2.1403625028813855</v>
      </c>
      <c r="H11" s="118">
        <f t="shared" si="1"/>
        <v>2.1403625028813855</v>
      </c>
      <c r="J11" s="29"/>
      <c r="K11" s="29"/>
      <c r="L11" s="30"/>
    </row>
    <row r="12" spans="1:12" x14ac:dyDescent="0.25">
      <c r="A12" s="31">
        <v>25</v>
      </c>
      <c r="B12" s="34">
        <v>277.53219999999999</v>
      </c>
      <c r="C12" s="30">
        <v>29.921430000000001</v>
      </c>
      <c r="D12" s="30">
        <v>0.99948999999999999</v>
      </c>
      <c r="E12" s="29"/>
      <c r="F12" s="29"/>
      <c r="G12" s="9">
        <f t="shared" si="0"/>
        <v>2.4447322149620319</v>
      </c>
      <c r="H12" s="9">
        <f t="shared" si="1"/>
        <v>2.4447322149620319</v>
      </c>
      <c r="J12" s="29"/>
      <c r="K12" s="29"/>
      <c r="L12" s="30"/>
    </row>
    <row r="13" spans="1:12" x14ac:dyDescent="0.25">
      <c r="A13" s="31">
        <v>50</v>
      </c>
      <c r="B13" s="34">
        <v>286.46476000000001</v>
      </c>
      <c r="C13" s="30">
        <v>28.597670000000001</v>
      </c>
      <c r="D13" s="30">
        <v>0.99095</v>
      </c>
      <c r="E13" s="29"/>
      <c r="F13" s="29"/>
      <c r="G13" s="9">
        <f t="shared" si="0"/>
        <v>2.6581782309620539</v>
      </c>
      <c r="H13" s="9">
        <f t="shared" si="1"/>
        <v>2.6581782309620539</v>
      </c>
    </row>
    <row r="14" spans="1:12" x14ac:dyDescent="0.25">
      <c r="A14" s="31">
        <v>100</v>
      </c>
      <c r="B14" s="34">
        <v>295.10935000000001</v>
      </c>
      <c r="C14" s="30">
        <v>27.28867</v>
      </c>
      <c r="D14" s="30">
        <v>0.98262000000000005</v>
      </c>
      <c r="E14" s="29"/>
      <c r="F14" s="29"/>
      <c r="G14" s="9">
        <f t="shared" si="0"/>
        <v>2.8812228069435952</v>
      </c>
      <c r="H14" s="9">
        <f t="shared" si="1"/>
        <v>2.8812228069435952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6.8032393962179274</v>
      </c>
      <c r="C19" s="30">
        <f t="shared" ref="C19:C26" si="2">A19/60</f>
        <v>8.3333333333333329E-2</v>
      </c>
      <c r="F19" s="29"/>
      <c r="G19" s="29"/>
      <c r="H19" s="29"/>
    </row>
    <row r="20" spans="1:8" x14ac:dyDescent="0.25">
      <c r="A20" s="29">
        <v>10</v>
      </c>
      <c r="B20" s="29">
        <f t="shared" ref="B20:B26" si="3">$B$11/($C$11+A20)^$D$11</f>
        <v>5.9834049106499503</v>
      </c>
      <c r="C20" s="30">
        <f t="shared" si="2"/>
        <v>0.16666666666666666</v>
      </c>
      <c r="F20" s="29"/>
      <c r="G20" s="29"/>
      <c r="H20" s="29"/>
    </row>
    <row r="21" spans="1:8" x14ac:dyDescent="0.25">
      <c r="A21" s="29">
        <v>30</v>
      </c>
      <c r="B21" s="29">
        <f t="shared" si="3"/>
        <v>4.0327713015819251</v>
      </c>
      <c r="C21" s="30">
        <f t="shared" si="2"/>
        <v>0.5</v>
      </c>
      <c r="F21" s="29"/>
      <c r="G21" s="29"/>
      <c r="H21" s="29"/>
    </row>
    <row r="22" spans="1:8" x14ac:dyDescent="0.25">
      <c r="A22" s="29">
        <v>60</v>
      </c>
      <c r="B22" s="29">
        <f t="shared" si="3"/>
        <v>2.7038732174549174</v>
      </c>
      <c r="C22" s="30">
        <f t="shared" si="2"/>
        <v>1</v>
      </c>
      <c r="F22" s="29"/>
      <c r="G22" s="29"/>
      <c r="H22" s="29"/>
    </row>
    <row r="23" spans="1:8" x14ac:dyDescent="0.25">
      <c r="A23" s="29">
        <v>180</v>
      </c>
      <c r="B23" s="29">
        <f t="shared" si="3"/>
        <v>1.1608094229339996</v>
      </c>
      <c r="C23" s="30">
        <f t="shared" si="2"/>
        <v>3</v>
      </c>
      <c r="F23" s="29"/>
      <c r="G23" s="29"/>
      <c r="H23" s="29"/>
    </row>
    <row r="24" spans="1:8" x14ac:dyDescent="0.25">
      <c r="A24" s="29">
        <v>360</v>
      </c>
      <c r="B24" s="29">
        <f t="shared" si="3"/>
        <v>0.62284020527991935</v>
      </c>
      <c r="C24" s="30">
        <f t="shared" si="2"/>
        <v>6</v>
      </c>
      <c r="F24" s="29"/>
      <c r="G24" s="33"/>
      <c r="H24" s="33"/>
    </row>
    <row r="25" spans="1:8" x14ac:dyDescent="0.25">
      <c r="A25" s="29">
        <v>840</v>
      </c>
      <c r="B25" s="29">
        <f t="shared" si="3"/>
        <v>0.27713115381530307</v>
      </c>
      <c r="C25" s="30">
        <f t="shared" si="2"/>
        <v>14</v>
      </c>
      <c r="F25" s="29"/>
      <c r="G25" s="9"/>
      <c r="H25" s="9"/>
    </row>
    <row r="26" spans="1:8" x14ac:dyDescent="0.25">
      <c r="A26" s="29">
        <v>1440</v>
      </c>
      <c r="B26" s="29">
        <f t="shared" si="3"/>
        <v>0.16307020925218327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240.26568</v>
      </c>
      <c r="C9" s="30">
        <v>35.615130000000001</v>
      </c>
      <c r="D9" s="30">
        <v>1.03559</v>
      </c>
      <c r="E9" s="29"/>
      <c r="F9" s="29"/>
      <c r="G9" s="9">
        <f t="shared" ref="G9:G14" si="0">B9/(C9+$D$4)^D9</f>
        <v>1.6959983118986586</v>
      </c>
      <c r="H9" s="9">
        <f t="shared" ref="H9:H14" si="1">B9/(C9+$D$5)^D9</f>
        <v>1.6959983118986586</v>
      </c>
      <c r="J9" s="29"/>
      <c r="K9" s="29"/>
      <c r="L9" s="30"/>
    </row>
    <row r="10" spans="1:12" x14ac:dyDescent="0.25">
      <c r="A10" s="31">
        <v>5</v>
      </c>
      <c r="B10" s="34">
        <v>254.71848</v>
      </c>
      <c r="C10" s="30">
        <v>33.335520000000002</v>
      </c>
      <c r="D10" s="30">
        <v>1.0214000000000001</v>
      </c>
      <c r="E10" s="29"/>
      <c r="F10" s="29"/>
      <c r="G10" s="9">
        <f t="shared" si="0"/>
        <v>1.9625282728605564</v>
      </c>
      <c r="H10" s="9">
        <f t="shared" si="1"/>
        <v>1.9625282728605564</v>
      </c>
      <c r="J10" s="29"/>
      <c r="K10" s="29"/>
      <c r="L10" s="30"/>
    </row>
    <row r="11" spans="1:12" x14ac:dyDescent="0.25">
      <c r="A11" s="31">
        <v>10</v>
      </c>
      <c r="B11" s="34">
        <v>264.71357</v>
      </c>
      <c r="C11" s="30">
        <v>31.821919999999999</v>
      </c>
      <c r="D11" s="30">
        <v>1.0117499999999999</v>
      </c>
      <c r="E11" s="29"/>
      <c r="F11" s="29"/>
      <c r="G11" s="35">
        <f t="shared" si="0"/>
        <v>2.163756146041238</v>
      </c>
      <c r="H11" s="118">
        <f t="shared" si="1"/>
        <v>2.163756146041238</v>
      </c>
      <c r="J11" s="29"/>
      <c r="K11" s="29"/>
      <c r="L11" s="30"/>
    </row>
    <row r="12" spans="1:12" x14ac:dyDescent="0.25">
      <c r="A12" s="31">
        <v>25</v>
      </c>
      <c r="B12" s="34">
        <v>276.98802000000001</v>
      </c>
      <c r="C12" s="30">
        <v>30.00177</v>
      </c>
      <c r="D12" s="30">
        <v>1.0000100000000001</v>
      </c>
      <c r="E12" s="29"/>
      <c r="F12" s="29"/>
      <c r="G12" s="9">
        <f t="shared" si="0"/>
        <v>2.4322219898140864</v>
      </c>
      <c r="H12" s="9">
        <f t="shared" si="1"/>
        <v>2.4322219898140864</v>
      </c>
      <c r="J12" s="29"/>
      <c r="K12" s="29"/>
      <c r="L12" s="30"/>
    </row>
    <row r="13" spans="1:12" x14ac:dyDescent="0.25">
      <c r="A13" s="31">
        <v>50</v>
      </c>
      <c r="B13" s="34">
        <v>286.34575000000001</v>
      </c>
      <c r="C13" s="30">
        <v>28.615590000000001</v>
      </c>
      <c r="D13" s="30">
        <v>0.99107000000000001</v>
      </c>
      <c r="E13" s="29"/>
      <c r="F13" s="29"/>
      <c r="G13" s="9">
        <f t="shared" si="0"/>
        <v>2.6551492431417376</v>
      </c>
      <c r="H13" s="9">
        <f t="shared" si="1"/>
        <v>2.6551492431417376</v>
      </c>
    </row>
    <row r="14" spans="1:12" x14ac:dyDescent="0.25">
      <c r="A14" s="31">
        <v>100</v>
      </c>
      <c r="B14" s="34">
        <v>294.57238000000001</v>
      </c>
      <c r="C14" s="30">
        <v>27.372150000000001</v>
      </c>
      <c r="D14" s="30">
        <v>0.98314000000000001</v>
      </c>
      <c r="E14" s="29"/>
      <c r="F14" s="29"/>
      <c r="G14" s="9">
        <f t="shared" si="0"/>
        <v>2.8668269399314745</v>
      </c>
      <c r="H14" s="9">
        <f t="shared" si="1"/>
        <v>2.8668269399314745</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6.8907742862280994</v>
      </c>
      <c r="C19" s="30">
        <f t="shared" ref="C19:C26" si="2">A19/60</f>
        <v>8.3333333333333329E-2</v>
      </c>
      <c r="F19" s="29"/>
      <c r="G19" s="29"/>
      <c r="H19" s="29"/>
    </row>
    <row r="20" spans="1:8" x14ac:dyDescent="0.25">
      <c r="A20" s="29">
        <v>10</v>
      </c>
      <c r="B20" s="29">
        <f t="shared" ref="B20:B26" si="3">$B$11/($C$11+A20)^$D$11</f>
        <v>6.0578810511672234</v>
      </c>
      <c r="C20" s="30">
        <f t="shared" si="2"/>
        <v>0.16666666666666666</v>
      </c>
      <c r="F20" s="29"/>
      <c r="G20" s="29"/>
      <c r="H20" s="29"/>
    </row>
    <row r="21" spans="1:8" x14ac:dyDescent="0.25">
      <c r="A21" s="29">
        <v>30</v>
      </c>
      <c r="B21" s="29">
        <f t="shared" si="3"/>
        <v>4.0793201635029686</v>
      </c>
      <c r="C21" s="30">
        <f t="shared" si="2"/>
        <v>0.5</v>
      </c>
      <c r="F21" s="29"/>
      <c r="G21" s="29"/>
      <c r="H21" s="29"/>
    </row>
    <row r="22" spans="1:8" x14ac:dyDescent="0.25">
      <c r="A22" s="29">
        <v>60</v>
      </c>
      <c r="B22" s="29">
        <f t="shared" si="3"/>
        <v>2.7337904094640328</v>
      </c>
      <c r="C22" s="30">
        <f t="shared" si="2"/>
        <v>1</v>
      </c>
      <c r="F22" s="29"/>
      <c r="G22" s="29"/>
      <c r="H22" s="29"/>
    </row>
    <row r="23" spans="1:8" x14ac:dyDescent="0.25">
      <c r="A23" s="29">
        <v>180</v>
      </c>
      <c r="B23" s="29">
        <f t="shared" si="3"/>
        <v>1.1734785262492908</v>
      </c>
      <c r="C23" s="30">
        <f t="shared" si="2"/>
        <v>3</v>
      </c>
      <c r="F23" s="29"/>
      <c r="G23" s="29"/>
      <c r="H23" s="29"/>
    </row>
    <row r="24" spans="1:8" x14ac:dyDescent="0.25">
      <c r="A24" s="29">
        <v>360</v>
      </c>
      <c r="B24" s="29">
        <f t="shared" si="3"/>
        <v>0.62982324345812346</v>
      </c>
      <c r="C24" s="30">
        <f t="shared" si="2"/>
        <v>6</v>
      </c>
      <c r="F24" s="29"/>
      <c r="G24" s="33"/>
      <c r="H24" s="33"/>
    </row>
    <row r="25" spans="1:8" x14ac:dyDescent="0.25">
      <c r="A25" s="29">
        <v>840</v>
      </c>
      <c r="B25" s="29">
        <f t="shared" si="3"/>
        <v>0.28041316187999193</v>
      </c>
      <c r="C25" s="30">
        <f t="shared" si="2"/>
        <v>14</v>
      </c>
      <c r="F25" s="29"/>
      <c r="G25" s="9"/>
      <c r="H25" s="9"/>
    </row>
    <row r="26" spans="1:8" x14ac:dyDescent="0.25">
      <c r="A26" s="29">
        <v>1440</v>
      </c>
      <c r="B26" s="29">
        <f t="shared" si="3"/>
        <v>0.16508158844122345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zoomScaleNormal="100" zoomScaleSheetLayoutView="100" workbookViewId="0">
      <selection activeCell="H11" sqref="H10:H11"/>
    </sheetView>
  </sheetViews>
  <sheetFormatPr defaultColWidth="9.109375" defaultRowHeight="13.2" x14ac:dyDescent="0.25"/>
  <cols>
    <col min="1" max="1" width="20.88671875" style="43" customWidth="1"/>
    <col min="2" max="2" width="8.6640625" style="43" customWidth="1"/>
    <col min="3" max="3" width="9.33203125" style="43" customWidth="1"/>
    <col min="4" max="4" width="6.33203125" style="43" customWidth="1"/>
    <col min="5" max="5" width="8.44140625" style="43" customWidth="1"/>
    <col min="6" max="6" width="14.109375" style="43" customWidth="1"/>
    <col min="7" max="7" width="11" style="43" customWidth="1"/>
    <col min="8" max="8" width="9.44140625" style="43" customWidth="1"/>
    <col min="9" max="9" width="6.88671875" style="43" customWidth="1"/>
    <col min="10" max="10" width="12" style="43" customWidth="1"/>
    <col min="11" max="16384" width="9.109375" style="43"/>
  </cols>
  <sheetData>
    <row r="2" spans="1:10" s="44" customFormat="1" x14ac:dyDescent="0.25">
      <c r="A2" s="109" t="s">
        <v>424</v>
      </c>
    </row>
    <row r="3" spans="1:10" x14ac:dyDescent="0.25">
      <c r="A3" s="110" t="s">
        <v>425</v>
      </c>
      <c r="B3" s="46"/>
      <c r="C3" s="46"/>
      <c r="D3" s="46"/>
      <c r="E3" s="46"/>
      <c r="F3" s="46"/>
      <c r="G3" s="46"/>
    </row>
    <row r="5" spans="1:10" x14ac:dyDescent="0.25">
      <c r="A5" s="180" t="s">
        <v>431</v>
      </c>
      <c r="B5" s="180"/>
      <c r="C5" s="180"/>
      <c r="D5" s="180"/>
      <c r="E5" s="180"/>
      <c r="F5" s="180"/>
      <c r="G5" s="180"/>
      <c r="H5" s="180"/>
      <c r="I5" s="180"/>
      <c r="J5" s="169"/>
    </row>
    <row r="6" spans="1:10" ht="39.6" customHeight="1" x14ac:dyDescent="0.25">
      <c r="A6" s="180"/>
      <c r="B6" s="180"/>
      <c r="C6" s="180"/>
      <c r="D6" s="180"/>
      <c r="E6" s="180"/>
      <c r="F6" s="180"/>
      <c r="G6" s="180"/>
      <c r="H6" s="180"/>
      <c r="I6" s="180"/>
      <c r="J6" s="170"/>
    </row>
    <row r="7" spans="1:10" x14ac:dyDescent="0.25">
      <c r="A7" s="46"/>
      <c r="B7" s="46"/>
      <c r="C7" s="46"/>
      <c r="D7" s="46"/>
      <c r="E7" s="46"/>
      <c r="F7" s="46"/>
      <c r="G7" s="46"/>
      <c r="H7" s="46"/>
      <c r="I7" s="46"/>
      <c r="J7" s="46"/>
    </row>
    <row r="8" spans="1:10" x14ac:dyDescent="0.25">
      <c r="A8" s="47" t="s">
        <v>0</v>
      </c>
      <c r="B8" s="46"/>
      <c r="C8" s="46"/>
      <c r="D8" s="46"/>
      <c r="E8" s="46"/>
      <c r="F8" s="46"/>
      <c r="G8" s="46"/>
      <c r="H8" s="46"/>
      <c r="I8" s="46"/>
      <c r="J8" s="46"/>
    </row>
    <row r="9" spans="1:10" x14ac:dyDescent="0.25">
      <c r="A9" s="46"/>
      <c r="B9" s="46"/>
      <c r="C9" s="46"/>
      <c r="D9" s="46"/>
      <c r="E9" s="46"/>
      <c r="F9" s="46"/>
      <c r="G9" s="46"/>
      <c r="H9" s="46"/>
      <c r="I9" s="46"/>
      <c r="J9" s="46"/>
    </row>
    <row r="10" spans="1:10" x14ac:dyDescent="0.25">
      <c r="A10" s="46" t="s">
        <v>1</v>
      </c>
      <c r="B10" s="46"/>
      <c r="C10" s="46"/>
      <c r="E10" s="115">
        <v>45</v>
      </c>
      <c r="F10" s="46"/>
      <c r="G10" s="46"/>
      <c r="H10" s="46"/>
      <c r="J10" s="46"/>
    </row>
    <row r="11" spans="1:10" x14ac:dyDescent="0.25">
      <c r="A11" s="46"/>
      <c r="B11" s="46"/>
      <c r="C11" s="46"/>
      <c r="E11" s="46"/>
      <c r="F11" s="46"/>
      <c r="G11" s="46"/>
      <c r="H11" s="46"/>
      <c r="I11" s="46"/>
      <c r="J11" s="46"/>
    </row>
    <row r="12" spans="1:10" x14ac:dyDescent="0.25">
      <c r="A12" s="49" t="s">
        <v>4</v>
      </c>
      <c r="B12" s="49"/>
      <c r="C12" s="49"/>
      <c r="D12" s="49"/>
      <c r="E12" s="46"/>
      <c r="F12" s="46"/>
      <c r="G12" s="46"/>
      <c r="H12" s="46"/>
      <c r="I12" s="46"/>
      <c r="J12" s="46"/>
    </row>
    <row r="13" spans="1:10" ht="13.5" customHeight="1" x14ac:dyDescent="0.25">
      <c r="A13" s="163" t="s">
        <v>402</v>
      </c>
      <c r="B13" s="178" t="s">
        <v>407</v>
      </c>
      <c r="C13" s="178"/>
      <c r="D13" s="46"/>
      <c r="E13" s="46"/>
      <c r="F13" s="46"/>
      <c r="G13" s="46"/>
      <c r="H13" s="46"/>
      <c r="I13" s="46"/>
      <c r="J13" s="46"/>
    </row>
    <row r="14" spans="1:10" ht="13.5" customHeight="1" x14ac:dyDescent="0.25">
      <c r="A14" s="46"/>
      <c r="B14" s="46"/>
      <c r="C14" s="46"/>
      <c r="D14" s="46"/>
      <c r="E14" s="46"/>
      <c r="F14" s="46"/>
      <c r="G14" s="46"/>
      <c r="H14" s="46"/>
      <c r="I14" s="46"/>
      <c r="J14" s="46"/>
    </row>
    <row r="15" spans="1:10" x14ac:dyDescent="0.25">
      <c r="A15" s="46"/>
      <c r="B15" s="46"/>
      <c r="C15" s="50" t="s">
        <v>2</v>
      </c>
      <c r="D15" s="50"/>
      <c r="E15" s="50" t="s">
        <v>5</v>
      </c>
      <c r="F15" s="177" t="s">
        <v>6</v>
      </c>
      <c r="G15" s="177"/>
      <c r="H15" s="46"/>
      <c r="I15" s="46"/>
      <c r="J15" s="46"/>
    </row>
    <row r="16" spans="1:10" x14ac:dyDescent="0.25">
      <c r="A16" s="46"/>
      <c r="B16" s="46"/>
      <c r="C16" s="115">
        <v>4.75</v>
      </c>
      <c r="D16" s="50" t="s">
        <v>3</v>
      </c>
      <c r="E16" s="48">
        <f>IF(ISBLANK(F16),0,IF($B$13='Runoff Coeficients (C)'!$I$8,VLOOKUP(F16,'Runoff Coeficients (C)'!$C$8:$F$40,2,FALSE),IF($B$13='Runoff Coeficients (C)'!$I$9,VLOOKUP(F16,'Runoff Coeficients (C)'!$C$8:$F$40,3,FALSE),IF($B$13='Runoff Coeficients (C)'!$I$10,VLOOKUP(F16,'Runoff Coeficients (C)'!$C$8:$F$40,4,FALSE),"UPDATE"))))</f>
        <v>0.9</v>
      </c>
      <c r="F16" s="179" t="s">
        <v>372</v>
      </c>
      <c r="G16" s="179"/>
      <c r="H16" s="46"/>
      <c r="I16" s="46"/>
      <c r="J16" s="46"/>
    </row>
    <row r="17" spans="1:10" x14ac:dyDescent="0.25">
      <c r="A17" s="46"/>
      <c r="B17" s="46"/>
      <c r="C17" s="115">
        <v>7.45</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9" t="s">
        <v>385</v>
      </c>
      <c r="G17" s="179"/>
      <c r="H17" s="46"/>
      <c r="I17" s="46"/>
      <c r="J17" s="46"/>
    </row>
    <row r="18" spans="1:10" x14ac:dyDescent="0.25">
      <c r="A18" s="46"/>
      <c r="B18" s="46"/>
      <c r="C18" s="115">
        <v>13.9</v>
      </c>
      <c r="D18" s="50" t="s">
        <v>3</v>
      </c>
      <c r="E18" s="48">
        <f>IF(ISBLANK(F18),0,IF($B$13='Runoff Coeficients (C)'!$I$8,VLOOKUP(F18,'Runoff Coeficients (C)'!$C$8:$F$40,2,FALSE),IF($B$13='Runoff Coeficients (C)'!$I$9,VLOOKUP(F18,'Runoff Coeficients (C)'!$C$8:$F$40,3,FALSE),IF($B$13='Runoff Coeficients (C)'!$I$10,VLOOKUP(F18,'Runoff Coeficients (C)'!$C$8:$F$40,4,FALSE),"UPDATE"))))</f>
        <v>0.5</v>
      </c>
      <c r="F18" s="179" t="s">
        <v>381</v>
      </c>
      <c r="G18" s="179"/>
      <c r="H18" s="46"/>
      <c r="I18" s="46"/>
      <c r="J18" s="46"/>
    </row>
    <row r="19" spans="1:10" x14ac:dyDescent="0.25">
      <c r="A19" s="46"/>
      <c r="B19" s="46"/>
      <c r="C19" s="115">
        <v>13.9</v>
      </c>
      <c r="D19" s="50" t="s">
        <v>3</v>
      </c>
      <c r="E19" s="48">
        <f>IF(ISBLANK(F19),0,IF($B$13='Runoff Coeficients (C)'!$I$8,VLOOKUP(F19,'Runoff Coeficients (C)'!$C$8:$F$40,2,FALSE),IF($B$13='Runoff Coeficients (C)'!$I$9,VLOOKUP(F19,'Runoff Coeficients (C)'!$C$8:$F$40,3,FALSE),IF($B$13='Runoff Coeficients (C)'!$I$10,VLOOKUP(F19,'Runoff Coeficients (C)'!$C$8:$F$40,4,FALSE),"UPDATE"))))</f>
        <v>0.3</v>
      </c>
      <c r="F19" s="179" t="s">
        <v>396</v>
      </c>
      <c r="G19" s="179"/>
      <c r="H19" s="46"/>
      <c r="I19" s="46"/>
      <c r="J19" s="46"/>
    </row>
    <row r="20" spans="1:10" x14ac:dyDescent="0.25">
      <c r="A20" s="46"/>
      <c r="B20" s="46"/>
      <c r="C20" s="115">
        <v>5</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9" t="s">
        <v>395</v>
      </c>
      <c r="G20" s="179"/>
      <c r="H20" s="46"/>
      <c r="I20" s="46"/>
      <c r="J20" s="46"/>
    </row>
    <row r="21" spans="1:10" x14ac:dyDescent="0.25">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9" t="s">
        <v>397</v>
      </c>
      <c r="G21" s="179"/>
      <c r="H21" s="46"/>
      <c r="I21" s="46"/>
      <c r="J21" s="46"/>
    </row>
    <row r="22" spans="1:10" x14ac:dyDescent="0.25">
      <c r="A22" s="46"/>
      <c r="B22" s="46"/>
      <c r="C22" s="46"/>
      <c r="D22" s="46"/>
      <c r="E22" s="46"/>
      <c r="F22" s="46"/>
      <c r="G22" s="46"/>
      <c r="H22" s="46"/>
      <c r="I22" s="46"/>
      <c r="J22" s="46"/>
    </row>
    <row r="23" spans="1:10" x14ac:dyDescent="0.25">
      <c r="A23" s="46"/>
      <c r="B23" s="46"/>
      <c r="C23" s="46"/>
      <c r="D23" s="46"/>
      <c r="E23" s="46"/>
      <c r="F23" s="46" t="s">
        <v>7</v>
      </c>
      <c r="G23" s="46"/>
      <c r="H23" s="52">
        <f>((C16*E16)+(C17*E17)+(C21*E21)+(C20*E20)+(C18*E18)+(C19*E19))/E10</f>
        <v>0.40016666666666667</v>
      </c>
      <c r="I23" s="46"/>
      <c r="J23" s="46"/>
    </row>
    <row r="24" spans="1:10" x14ac:dyDescent="0.25">
      <c r="A24" s="46"/>
      <c r="B24" s="46"/>
      <c r="C24" s="46"/>
      <c r="D24" s="46"/>
      <c r="E24" s="46"/>
      <c r="F24" s="46"/>
      <c r="G24" s="46"/>
      <c r="H24" s="46"/>
      <c r="I24" s="46"/>
      <c r="J24" s="46"/>
    </row>
    <row r="25" spans="1:10" x14ac:dyDescent="0.25">
      <c r="A25" s="49" t="s">
        <v>10</v>
      </c>
      <c r="B25" s="49"/>
      <c r="C25" s="49"/>
      <c r="D25" s="49"/>
      <c r="E25" s="46"/>
      <c r="F25" s="46"/>
      <c r="G25" s="46"/>
      <c r="H25" s="46"/>
      <c r="I25" s="46"/>
      <c r="J25" s="46"/>
    </row>
    <row r="26" spans="1:10" x14ac:dyDescent="0.25">
      <c r="A26" s="142" t="s">
        <v>159</v>
      </c>
      <c r="B26" s="46"/>
      <c r="C26" s="46"/>
      <c r="D26" s="46"/>
      <c r="E26" s="46"/>
      <c r="F26" s="46"/>
      <c r="G26" s="46"/>
      <c r="H26" s="46"/>
      <c r="I26" s="46"/>
      <c r="J26" s="46"/>
    </row>
    <row r="27" spans="1:10" x14ac:dyDescent="0.25">
      <c r="A27" s="46"/>
      <c r="B27" s="46"/>
      <c r="C27" s="46" t="s">
        <v>8</v>
      </c>
      <c r="D27" s="46"/>
      <c r="E27" s="46"/>
      <c r="F27" s="53">
        <f>'tc-pre'!D48</f>
        <v>1.3979257150990192</v>
      </c>
      <c r="G27" s="46" t="s">
        <v>11</v>
      </c>
      <c r="H27" s="46"/>
      <c r="I27" s="46"/>
      <c r="J27" s="46"/>
    </row>
    <row r="28" spans="1:10" x14ac:dyDescent="0.25">
      <c r="A28" s="46"/>
      <c r="B28" s="46"/>
      <c r="C28" s="46" t="s">
        <v>9</v>
      </c>
      <c r="D28" s="46"/>
      <c r="E28" s="46"/>
      <c r="F28" s="46"/>
      <c r="G28" s="46"/>
      <c r="H28" s="46"/>
      <c r="I28" s="46"/>
      <c r="J28" s="46"/>
    </row>
    <row r="29" spans="1:10" x14ac:dyDescent="0.25">
      <c r="A29" s="46"/>
      <c r="B29" s="46"/>
      <c r="C29" s="46"/>
      <c r="D29" s="46"/>
      <c r="E29" s="46"/>
      <c r="F29" s="46"/>
      <c r="G29" s="46"/>
      <c r="H29" s="46"/>
      <c r="I29" s="46"/>
      <c r="J29" s="46"/>
    </row>
    <row r="30" spans="1:10" x14ac:dyDescent="0.25">
      <c r="A30" s="46"/>
      <c r="B30" s="46"/>
      <c r="C30" s="46" t="s">
        <v>12</v>
      </c>
      <c r="D30" s="46"/>
      <c r="E30" s="46"/>
      <c r="F30" s="46"/>
      <c r="G30" s="46"/>
      <c r="H30" s="46"/>
      <c r="I30" s="46"/>
      <c r="J30" s="46"/>
    </row>
    <row r="31" spans="1:10" x14ac:dyDescent="0.25">
      <c r="A31" s="46"/>
      <c r="B31" s="46"/>
      <c r="C31" s="46"/>
      <c r="D31" s="46"/>
      <c r="E31" s="46"/>
      <c r="F31" s="46"/>
      <c r="G31" s="46"/>
      <c r="H31" s="46"/>
      <c r="I31" s="46"/>
      <c r="J31" s="46"/>
    </row>
    <row r="32" spans="1:10" x14ac:dyDescent="0.25">
      <c r="A32" s="46"/>
      <c r="B32" s="46"/>
      <c r="C32" s="46"/>
      <c r="D32" s="54" t="s">
        <v>13</v>
      </c>
      <c r="E32" s="54"/>
      <c r="F32" s="54"/>
      <c r="G32" s="48" t="s">
        <v>14</v>
      </c>
      <c r="H32" s="55"/>
      <c r="I32" s="46"/>
      <c r="J32" s="46"/>
    </row>
    <row r="33" spans="1:10" x14ac:dyDescent="0.25">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1.7513306339810331</v>
      </c>
      <c r="H33" s="56"/>
      <c r="I33" s="46"/>
      <c r="J33" s="46"/>
    </row>
    <row r="34" spans="1:10" x14ac:dyDescent="0.25">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2.2032351544680973</v>
      </c>
      <c r="H34" s="56"/>
      <c r="I34" s="46"/>
      <c r="J34" s="46"/>
    </row>
    <row r="35" spans="1:10" x14ac:dyDescent="0.25">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2.4811099341912088</v>
      </c>
      <c r="H35" s="56"/>
      <c r="I35" s="46"/>
      <c r="J35" s="46"/>
    </row>
    <row r="36" spans="1:10" x14ac:dyDescent="0.25">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2.6962096605545258</v>
      </c>
      <c r="H36" s="56"/>
      <c r="I36" s="46"/>
      <c r="J36" s="46"/>
    </row>
    <row r="37" spans="1:10" x14ac:dyDescent="0.25">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2.9039601493211098</v>
      </c>
      <c r="H37" s="56"/>
      <c r="I37" s="46"/>
      <c r="J37" s="46"/>
    </row>
    <row r="38" spans="1:10" x14ac:dyDescent="0.25">
      <c r="A38" s="46"/>
      <c r="B38" s="46"/>
      <c r="C38" s="46"/>
      <c r="D38" s="46"/>
      <c r="E38" s="46"/>
      <c r="F38" s="46"/>
      <c r="G38" s="57"/>
      <c r="H38" s="55"/>
      <c r="I38" s="46"/>
      <c r="J38" s="46"/>
    </row>
    <row r="39" spans="1:10" x14ac:dyDescent="0.25">
      <c r="A39" s="49" t="s">
        <v>16</v>
      </c>
      <c r="B39" s="46"/>
      <c r="C39" s="46"/>
      <c r="D39" s="46"/>
      <c r="E39" s="46"/>
      <c r="F39" s="46"/>
      <c r="G39" s="46"/>
      <c r="H39" s="46"/>
      <c r="I39" s="46"/>
      <c r="J39" s="46"/>
    </row>
    <row r="40" spans="1:10" x14ac:dyDescent="0.25">
      <c r="A40" s="46"/>
      <c r="B40" s="46"/>
      <c r="C40" s="46"/>
      <c r="D40" s="46"/>
      <c r="E40" s="46"/>
      <c r="F40" s="46"/>
      <c r="G40" s="46"/>
      <c r="H40" s="46"/>
      <c r="I40" s="46"/>
      <c r="J40" s="46"/>
    </row>
    <row r="41" spans="1:10" ht="15.6" x14ac:dyDescent="0.35">
      <c r="A41" s="46"/>
      <c r="B41" s="46"/>
      <c r="C41" s="46" t="s">
        <v>17</v>
      </c>
      <c r="D41" s="46"/>
      <c r="E41" s="46"/>
      <c r="F41" s="46"/>
      <c r="G41" s="46"/>
      <c r="H41" s="46"/>
      <c r="I41" s="46"/>
    </row>
    <row r="42" spans="1:10" ht="26.4" x14ac:dyDescent="0.25">
      <c r="A42" s="46"/>
      <c r="B42" s="58" t="s">
        <v>13</v>
      </c>
      <c r="C42" s="50" t="s">
        <v>18</v>
      </c>
      <c r="D42" s="50" t="s">
        <v>19</v>
      </c>
      <c r="E42" s="50" t="s">
        <v>20</v>
      </c>
      <c r="F42" s="50" t="s">
        <v>21</v>
      </c>
      <c r="G42" s="50" t="s">
        <v>22</v>
      </c>
      <c r="H42" s="50" t="s">
        <v>32</v>
      </c>
      <c r="I42" s="46"/>
    </row>
    <row r="43" spans="1:10" x14ac:dyDescent="0.25">
      <c r="A43" s="46"/>
      <c r="B43" s="50">
        <v>2</v>
      </c>
      <c r="C43" s="50">
        <v>1</v>
      </c>
      <c r="D43" s="48">
        <f>$H$23</f>
        <v>0.40016666666666667</v>
      </c>
      <c r="E43" s="48">
        <f>G33</f>
        <v>1.7513306339810331</v>
      </c>
      <c r="F43" s="48">
        <f>$E$10</f>
        <v>45</v>
      </c>
      <c r="G43" s="50" t="s">
        <v>22</v>
      </c>
      <c r="H43" s="48">
        <f>C43*D43*E43*F43</f>
        <v>31.537086391413453</v>
      </c>
      <c r="I43" s="46" t="s">
        <v>33</v>
      </c>
    </row>
    <row r="44" spans="1:10" x14ac:dyDescent="0.25">
      <c r="A44" s="46"/>
      <c r="B44" s="50">
        <v>10</v>
      </c>
      <c r="C44" s="50">
        <v>1</v>
      </c>
      <c r="D44" s="48">
        <f>$H$23</f>
        <v>0.40016666666666667</v>
      </c>
      <c r="E44" s="48">
        <f>G34</f>
        <v>2.2032351544680973</v>
      </c>
      <c r="F44" s="48">
        <f>$E$10</f>
        <v>45</v>
      </c>
      <c r="G44" s="50" t="s">
        <v>22</v>
      </c>
      <c r="H44" s="48">
        <f>C44*D44*E44*F44</f>
        <v>39.674757044084259</v>
      </c>
      <c r="I44" s="46" t="s">
        <v>33</v>
      </c>
    </row>
    <row r="45" spans="1:10" x14ac:dyDescent="0.25">
      <c r="A45" s="46"/>
      <c r="B45" s="50">
        <v>25</v>
      </c>
      <c r="C45" s="50">
        <v>1.1000000000000001</v>
      </c>
      <c r="D45" s="48">
        <f>$H$23</f>
        <v>0.40016666666666667</v>
      </c>
      <c r="E45" s="48">
        <f>G35</f>
        <v>2.4811099341912088</v>
      </c>
      <c r="F45" s="48">
        <f>$E$10</f>
        <v>45</v>
      </c>
      <c r="G45" s="50" t="s">
        <v>22</v>
      </c>
      <c r="H45" s="48">
        <f>C45*D45*E45*F45</f>
        <v>49.146445853943021</v>
      </c>
      <c r="I45" s="46" t="s">
        <v>33</v>
      </c>
    </row>
    <row r="46" spans="1:10" x14ac:dyDescent="0.25">
      <c r="A46" s="46"/>
      <c r="B46" s="50">
        <v>50</v>
      </c>
      <c r="C46" s="50">
        <v>1.2</v>
      </c>
      <c r="D46" s="48">
        <f>$H$23</f>
        <v>0.40016666666666667</v>
      </c>
      <c r="E46" s="48">
        <f>G36</f>
        <v>2.6962096605545258</v>
      </c>
      <c r="F46" s="48">
        <f>$E$10</f>
        <v>45</v>
      </c>
      <c r="G46" s="50" t="s">
        <v>22</v>
      </c>
      <c r="H46" s="48">
        <f>C46*D46*E46*F46</f>
        <v>58.262394554922743</v>
      </c>
      <c r="I46" s="46" t="s">
        <v>33</v>
      </c>
    </row>
    <row r="47" spans="1:10" x14ac:dyDescent="0.25">
      <c r="A47" s="46"/>
      <c r="B47" s="50">
        <v>100</v>
      </c>
      <c r="C47" s="50">
        <v>1.25</v>
      </c>
      <c r="D47" s="48">
        <f>$H$23</f>
        <v>0.40016666666666667</v>
      </c>
      <c r="E47" s="48">
        <f>G37</f>
        <v>2.9039601493211098</v>
      </c>
      <c r="F47" s="48">
        <f>$E$10</f>
        <v>45</v>
      </c>
      <c r="G47" s="50" t="s">
        <v>22</v>
      </c>
      <c r="H47" s="48">
        <f>C47*D47*E47*F47</f>
        <v>65.366327986124858</v>
      </c>
      <c r="I47" s="46" t="s">
        <v>33</v>
      </c>
    </row>
    <row r="48" spans="1:10" x14ac:dyDescent="0.25">
      <c r="A48" s="46"/>
      <c r="B48" s="46"/>
      <c r="C48" s="50"/>
      <c r="D48" s="50"/>
      <c r="E48" s="48"/>
      <c r="F48" s="48"/>
      <c r="G48" s="50"/>
      <c r="H48" s="50"/>
      <c r="I48" s="59"/>
      <c r="J48" s="46"/>
    </row>
    <row r="50" spans="1:10" s="44" customFormat="1" x14ac:dyDescent="0.25">
      <c r="A50" s="44" t="str">
        <f>A2</f>
        <v>Outfall #12 [Rt.] Sta.445+00 (I-20)</v>
      </c>
    </row>
    <row r="51" spans="1:10" x14ac:dyDescent="0.25">
      <c r="A51" s="45" t="str">
        <f>A3</f>
        <v>[Outfall ditch]</v>
      </c>
      <c r="B51" s="46"/>
      <c r="C51" s="46"/>
      <c r="D51" s="46"/>
      <c r="E51" s="46"/>
      <c r="F51" s="46"/>
      <c r="G51" s="46"/>
      <c r="H51" s="46"/>
      <c r="I51" s="46"/>
      <c r="J51" s="46"/>
    </row>
    <row r="53" spans="1:10" x14ac:dyDescent="0.25">
      <c r="A53" s="42" t="s">
        <v>23</v>
      </c>
    </row>
    <row r="54" spans="1:10" ht="27.75" customHeight="1" x14ac:dyDescent="0.25">
      <c r="A54" s="180" t="s">
        <v>429</v>
      </c>
      <c r="B54" s="180"/>
      <c r="C54" s="180"/>
      <c r="D54" s="180"/>
      <c r="E54" s="180"/>
      <c r="F54" s="180"/>
      <c r="G54" s="180"/>
      <c r="H54" s="180"/>
      <c r="I54" s="180"/>
      <c r="J54" s="169"/>
    </row>
    <row r="56" spans="1:10" x14ac:dyDescent="0.25">
      <c r="A56" s="44" t="s">
        <v>24</v>
      </c>
    </row>
    <row r="58" spans="1:10" ht="55.5" customHeight="1" x14ac:dyDescent="0.25">
      <c r="A58" s="180" t="s">
        <v>428</v>
      </c>
      <c r="B58" s="180"/>
      <c r="C58" s="180"/>
      <c r="D58" s="180"/>
      <c r="E58" s="180"/>
      <c r="F58" s="180"/>
      <c r="G58" s="180"/>
      <c r="H58" s="180"/>
      <c r="I58" s="180"/>
      <c r="J58" s="169"/>
    </row>
    <row r="60" spans="1:10" x14ac:dyDescent="0.25">
      <c r="C60" s="43" t="s">
        <v>25</v>
      </c>
      <c r="G60" s="116">
        <v>45</v>
      </c>
      <c r="H60" s="43" t="s">
        <v>26</v>
      </c>
    </row>
    <row r="62" spans="1:10" x14ac:dyDescent="0.25">
      <c r="C62" s="43" t="s">
        <v>34</v>
      </c>
      <c r="G62" s="123">
        <f>C68-C16</f>
        <v>1.5499999999999998</v>
      </c>
      <c r="H62" s="43" t="s">
        <v>26</v>
      </c>
    </row>
    <row r="63" spans="1:10" x14ac:dyDescent="0.25">
      <c r="G63" s="60"/>
    </row>
    <row r="64" spans="1:10" x14ac:dyDescent="0.25">
      <c r="A64" s="61" t="s">
        <v>4</v>
      </c>
      <c r="B64" s="61"/>
      <c r="C64" s="61"/>
      <c r="D64" s="61"/>
    </row>
    <row r="65" spans="1:8" x14ac:dyDescent="0.25">
      <c r="A65" s="163" t="s">
        <v>402</v>
      </c>
      <c r="B65" s="178" t="s">
        <v>407</v>
      </c>
      <c r="C65" s="178"/>
    </row>
    <row r="67" spans="1:8" x14ac:dyDescent="0.25">
      <c r="C67" s="62" t="s">
        <v>2</v>
      </c>
      <c r="D67" s="62"/>
      <c r="E67" s="62" t="s">
        <v>5</v>
      </c>
      <c r="F67" s="176" t="s">
        <v>6</v>
      </c>
      <c r="G67" s="176"/>
    </row>
    <row r="68" spans="1:8" x14ac:dyDescent="0.25">
      <c r="C68" s="115">
        <v>6.3</v>
      </c>
      <c r="D68" s="50" t="s">
        <v>3</v>
      </c>
      <c r="E68" s="48">
        <f>IF(ISBLANK(F68),0,IF($B$65='Runoff Coeficients (C)'!$I$8,VLOOKUP(F68,'Runoff Coeficients (C)'!$C$8:$F$40,2,FALSE),IF($B$65='Runoff Coeficients (C)'!$I$9,VLOOKUP(F68,'Runoff Coeficients (C)'!$C$8:$F$40,3,FALSE),IF($B$65='Runoff Coeficients (C)'!$I$10,VLOOKUP(F68,'Runoff Coeficients (C)'!$C$8:$F$40,4,FALSE),"UPDATE"))))</f>
        <v>0.9</v>
      </c>
      <c r="F68" s="179" t="s">
        <v>372</v>
      </c>
      <c r="G68" s="179"/>
    </row>
    <row r="69" spans="1:8" ht="12.75" customHeight="1" x14ac:dyDescent="0.25">
      <c r="C69" s="115">
        <v>5.9</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9" t="s">
        <v>385</v>
      </c>
      <c r="G69" s="179"/>
    </row>
    <row r="70" spans="1:8" ht="12.75" customHeight="1" x14ac:dyDescent="0.25">
      <c r="C70" s="115">
        <v>13.9</v>
      </c>
      <c r="D70" s="50" t="s">
        <v>3</v>
      </c>
      <c r="E70" s="48">
        <f>IF(ISBLANK(F70),0,IF($B$65='Runoff Coeficients (C)'!$I$8,VLOOKUP(F70,'Runoff Coeficients (C)'!$C$8:$F$40,2,FALSE),IF($B$65='Runoff Coeficients (C)'!$I$9,VLOOKUP(F70,'Runoff Coeficients (C)'!$C$8:$F$40,3,FALSE),IF($B$65='Runoff Coeficients (C)'!$I$10,VLOOKUP(F70,'Runoff Coeficients (C)'!$C$8:$F$40,4,FALSE),"UPDATE"))))</f>
        <v>0.5</v>
      </c>
      <c r="F70" s="179" t="s">
        <v>381</v>
      </c>
      <c r="G70" s="179"/>
    </row>
    <row r="71" spans="1:8" ht="12.75" customHeight="1" x14ac:dyDescent="0.25">
      <c r="C71" s="115">
        <v>13.9</v>
      </c>
      <c r="D71" s="50" t="s">
        <v>3</v>
      </c>
      <c r="E71" s="48">
        <f>IF(ISBLANK(F71),0,IF($B$65='Runoff Coeficients (C)'!$I$8,VLOOKUP(F71,'Runoff Coeficients (C)'!$C$8:$F$40,2,FALSE),IF($B$65='Runoff Coeficients (C)'!$I$9,VLOOKUP(F71,'Runoff Coeficients (C)'!$C$8:$F$40,3,FALSE),IF($B$65='Runoff Coeficients (C)'!$I$10,VLOOKUP(F71,'Runoff Coeficients (C)'!$C$8:$F$40,4,FALSE),"UPDATE"))))</f>
        <v>0.3</v>
      </c>
      <c r="F71" s="179" t="s">
        <v>396</v>
      </c>
      <c r="G71" s="179"/>
    </row>
    <row r="72" spans="1:8" x14ac:dyDescent="0.25">
      <c r="C72" s="115">
        <v>5</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9" t="s">
        <v>395</v>
      </c>
      <c r="G72" s="179"/>
    </row>
    <row r="73" spans="1:8" x14ac:dyDescent="0.25">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9" t="s">
        <v>397</v>
      </c>
      <c r="G73" s="179"/>
    </row>
    <row r="74" spans="1:8" x14ac:dyDescent="0.25">
      <c r="F74" s="50"/>
      <c r="G74" s="50"/>
    </row>
    <row r="75" spans="1:8" ht="12" customHeight="1" x14ac:dyDescent="0.25">
      <c r="F75" s="43" t="s">
        <v>7</v>
      </c>
      <c r="H75" s="52">
        <f>((C68*E68)+(C69*E69)+(C73*E73)+(C72*E72)+(C70*E70)+(C71*E71))/G60</f>
        <v>0.42255555555555557</v>
      </c>
    </row>
    <row r="77" spans="1:8" x14ac:dyDescent="0.25">
      <c r="A77" s="61" t="s">
        <v>10</v>
      </c>
      <c r="B77" s="61"/>
      <c r="C77" s="61"/>
      <c r="D77" s="61"/>
    </row>
    <row r="78" spans="1:8" x14ac:dyDescent="0.25">
      <c r="A78" s="62" t="str">
        <f>A26</f>
        <v>Lexington, SC</v>
      </c>
    </row>
    <row r="79" spans="1:8" x14ac:dyDescent="0.25">
      <c r="C79" s="43" t="s">
        <v>8</v>
      </c>
      <c r="F79" s="63">
        <f>IF('tc-pre'!E1="Yes",'tc-pre'!D48,IF('tc-pre'!E1="No",'tc-post'!D47,"Update"))</f>
        <v>1.3979257150990192</v>
      </c>
      <c r="G79" s="43" t="s">
        <v>11</v>
      </c>
    </row>
    <row r="80" spans="1:8" x14ac:dyDescent="0.25">
      <c r="C80" s="75" t="str">
        <f>IF('tc-pre'!E1="Yes","Pre-Construction Tc = Post-Construction Tc",IF('tc-pre'!E1="No","See Time of Concentration Worksheet","Update"))</f>
        <v>See Time of Concentration Worksheet</v>
      </c>
    </row>
    <row r="81" spans="1:10" ht="11.25" customHeight="1" x14ac:dyDescent="0.25">
      <c r="A81" s="64"/>
      <c r="B81" s="64"/>
      <c r="C81" s="64"/>
      <c r="D81" s="64"/>
      <c r="E81" s="64"/>
      <c r="F81" s="64"/>
      <c r="G81" s="64"/>
      <c r="H81" s="64"/>
      <c r="I81" s="64"/>
      <c r="J81" s="64"/>
    </row>
    <row r="83" spans="1:10" x14ac:dyDescent="0.25">
      <c r="C83" s="43" t="s">
        <v>12</v>
      </c>
    </row>
    <row r="85" spans="1:10" x14ac:dyDescent="0.25">
      <c r="D85" s="65" t="s">
        <v>13</v>
      </c>
      <c r="E85" s="65"/>
      <c r="F85" s="65"/>
      <c r="G85" s="43" t="s">
        <v>14</v>
      </c>
    </row>
    <row r="86" spans="1:10" x14ac:dyDescent="0.25">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1.7513306339810331</v>
      </c>
    </row>
    <row r="87" spans="1:10" x14ac:dyDescent="0.25">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2.2032351544680973</v>
      </c>
    </row>
    <row r="88" spans="1:10" x14ac:dyDescent="0.25">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2.4811099341912088</v>
      </c>
    </row>
    <row r="89" spans="1:10" x14ac:dyDescent="0.25">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2.6962096605545258</v>
      </c>
    </row>
    <row r="90" spans="1:10" x14ac:dyDescent="0.25">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2.9039601493211098</v>
      </c>
    </row>
    <row r="91" spans="1:10" x14ac:dyDescent="0.25">
      <c r="G91" s="66"/>
    </row>
    <row r="93" spans="1:10" s="44" customFormat="1" x14ac:dyDescent="0.25">
      <c r="A93" s="44" t="str">
        <f>A2</f>
        <v>Outfall #12 [Rt.] Sta.445+00 (I-20)</v>
      </c>
    </row>
    <row r="94" spans="1:10" x14ac:dyDescent="0.25">
      <c r="A94" s="45" t="str">
        <f>A3</f>
        <v>[Outfall ditch]</v>
      </c>
      <c r="B94" s="46"/>
      <c r="C94" s="46"/>
      <c r="D94" s="46"/>
      <c r="E94" s="46"/>
      <c r="F94" s="46"/>
      <c r="G94" s="46"/>
      <c r="H94" s="46"/>
      <c r="I94" s="46"/>
      <c r="J94" s="46"/>
    </row>
    <row r="96" spans="1:10" x14ac:dyDescent="0.25">
      <c r="A96" s="42" t="s">
        <v>23</v>
      </c>
    </row>
    <row r="97" spans="1:10" s="64" customFormat="1" ht="18.75" customHeight="1" x14ac:dyDescent="0.25">
      <c r="A97" s="181"/>
      <c r="B97" s="181"/>
      <c r="C97" s="181"/>
      <c r="D97" s="181"/>
      <c r="E97" s="181"/>
      <c r="F97" s="181"/>
      <c r="G97" s="181"/>
      <c r="H97" s="181"/>
      <c r="I97" s="181"/>
      <c r="J97" s="181"/>
    </row>
    <row r="98" spans="1:10" ht="12.75" customHeight="1" x14ac:dyDescent="0.25"/>
    <row r="99" spans="1:10" ht="12.75" customHeight="1" x14ac:dyDescent="0.25">
      <c r="A99" s="61" t="s">
        <v>16</v>
      </c>
    </row>
    <row r="100" spans="1:10" ht="12.75" customHeight="1" x14ac:dyDescent="0.25"/>
    <row r="101" spans="1:10" ht="12.75" customHeight="1" x14ac:dyDescent="0.35">
      <c r="C101" s="43" t="s">
        <v>17</v>
      </c>
    </row>
    <row r="102" spans="1:10" ht="12.75" customHeight="1" x14ac:dyDescent="0.25">
      <c r="B102" s="67" t="s">
        <v>13</v>
      </c>
      <c r="C102" s="62" t="s">
        <v>18</v>
      </c>
      <c r="D102" s="62" t="s">
        <v>19</v>
      </c>
      <c r="E102" s="62" t="s">
        <v>20</v>
      </c>
      <c r="F102" s="62" t="s">
        <v>21</v>
      </c>
      <c r="G102" s="62" t="s">
        <v>22</v>
      </c>
      <c r="H102" s="62" t="s">
        <v>32</v>
      </c>
    </row>
    <row r="103" spans="1:10" ht="12.75" customHeight="1" x14ac:dyDescent="0.25">
      <c r="B103" s="62">
        <v>2</v>
      </c>
      <c r="C103" s="62">
        <v>1</v>
      </c>
      <c r="D103" s="68">
        <f>$H$75</f>
        <v>0.42255555555555557</v>
      </c>
      <c r="E103" s="69">
        <f>G86</f>
        <v>1.7513306339810331</v>
      </c>
      <c r="F103" s="68">
        <f>$G$60</f>
        <v>45</v>
      </c>
      <c r="G103" s="62" t="s">
        <v>22</v>
      </c>
      <c r="H103" s="68">
        <f>C103*D103*E103*F103</f>
        <v>33.301552005149347</v>
      </c>
      <c r="I103" s="43" t="s">
        <v>33</v>
      </c>
    </row>
    <row r="104" spans="1:10" ht="12.75" customHeight="1" x14ac:dyDescent="0.25">
      <c r="B104" s="62">
        <v>10</v>
      </c>
      <c r="C104" s="62">
        <v>1</v>
      </c>
      <c r="D104" s="68">
        <f>$H$75</f>
        <v>0.42255555555555557</v>
      </c>
      <c r="E104" s="69">
        <f>G87</f>
        <v>2.2032351544680973</v>
      </c>
      <c r="F104" s="68">
        <f>$G$60</f>
        <v>45</v>
      </c>
      <c r="G104" s="62" t="s">
        <v>22</v>
      </c>
      <c r="H104" s="68">
        <f>C104*D104*E104*F104</f>
        <v>41.894516462210873</v>
      </c>
      <c r="I104" s="43" t="s">
        <v>33</v>
      </c>
    </row>
    <row r="105" spans="1:10" ht="12.75" customHeight="1" x14ac:dyDescent="0.25">
      <c r="B105" s="62">
        <v>25</v>
      </c>
      <c r="C105" s="62">
        <v>1.1000000000000001</v>
      </c>
      <c r="D105" s="68">
        <f>$H$75</f>
        <v>0.42255555555555557</v>
      </c>
      <c r="E105" s="69">
        <f>G88</f>
        <v>2.4811099341912088</v>
      </c>
      <c r="F105" s="68">
        <f>$G$60</f>
        <v>45</v>
      </c>
      <c r="G105" s="62" t="s">
        <v>22</v>
      </c>
      <c r="H105" s="68">
        <f>C105*D105*E105*F105</f>
        <v>51.896135938510433</v>
      </c>
      <c r="I105" s="43" t="s">
        <v>33</v>
      </c>
    </row>
    <row r="106" spans="1:10" ht="12.75" customHeight="1" x14ac:dyDescent="0.25">
      <c r="B106" s="62">
        <v>50</v>
      </c>
      <c r="C106" s="62">
        <v>1.2</v>
      </c>
      <c r="D106" s="68">
        <f>$H$75</f>
        <v>0.42255555555555557</v>
      </c>
      <c r="E106" s="69">
        <f>G89</f>
        <v>2.6962096605545258</v>
      </c>
      <c r="F106" s="68">
        <f>$G$60</f>
        <v>45</v>
      </c>
      <c r="G106" s="62" t="s">
        <v>22</v>
      </c>
      <c r="H106" s="68">
        <f>C106*D106*E106*F106</f>
        <v>61.522112034533166</v>
      </c>
      <c r="I106" s="43" t="s">
        <v>33</v>
      </c>
    </row>
    <row r="107" spans="1:10" ht="12.75" customHeight="1" x14ac:dyDescent="0.25">
      <c r="B107" s="62">
        <v>100</v>
      </c>
      <c r="C107" s="62">
        <v>1.25</v>
      </c>
      <c r="D107" s="68">
        <f>$H$75</f>
        <v>0.42255555555555557</v>
      </c>
      <c r="E107" s="69">
        <f>G90</f>
        <v>2.9039601493211098</v>
      </c>
      <c r="F107" s="68">
        <f>$G$60</f>
        <v>45</v>
      </c>
      <c r="G107" s="62" t="s">
        <v>22</v>
      </c>
      <c r="H107" s="68">
        <f>C107*D107*E107*F107</f>
        <v>69.023502799176114</v>
      </c>
      <c r="I107" s="43" t="s">
        <v>33</v>
      </c>
    </row>
    <row r="108" spans="1:10" x14ac:dyDescent="0.25">
      <c r="C108" s="62"/>
      <c r="D108" s="62"/>
      <c r="E108" s="68"/>
      <c r="F108" s="68"/>
      <c r="G108" s="70"/>
      <c r="H108" s="62"/>
      <c r="I108" s="60"/>
    </row>
    <row r="109" spans="1:10" x14ac:dyDescent="0.25">
      <c r="A109" s="49" t="s">
        <v>27</v>
      </c>
      <c r="B109" s="46"/>
      <c r="C109" s="46"/>
      <c r="D109" s="46"/>
      <c r="E109" s="46"/>
      <c r="F109" s="46"/>
      <c r="G109" s="46"/>
      <c r="H109" s="46"/>
      <c r="I109" s="46"/>
      <c r="J109" s="46"/>
    </row>
    <row r="110" spans="1:10" x14ac:dyDescent="0.25">
      <c r="A110" s="46"/>
      <c r="B110" s="46"/>
      <c r="C110" s="46"/>
      <c r="D110" s="46"/>
      <c r="E110" s="46"/>
      <c r="F110" s="46"/>
      <c r="G110" s="46"/>
      <c r="H110" s="46"/>
      <c r="I110" s="46"/>
      <c r="J110" s="46"/>
    </row>
    <row r="111" spans="1:10" ht="27.6" x14ac:dyDescent="0.35">
      <c r="A111" s="46"/>
      <c r="B111" s="46"/>
      <c r="C111" s="58" t="s">
        <v>13</v>
      </c>
      <c r="D111" s="50" t="s">
        <v>28</v>
      </c>
      <c r="E111" s="50" t="s">
        <v>29</v>
      </c>
      <c r="F111" s="50" t="s">
        <v>30</v>
      </c>
      <c r="G111" s="50" t="s">
        <v>31</v>
      </c>
      <c r="H111" s="46"/>
      <c r="I111" s="46"/>
      <c r="J111" s="46"/>
    </row>
    <row r="112" spans="1:10" x14ac:dyDescent="0.25">
      <c r="A112" s="46"/>
      <c r="B112" s="46"/>
      <c r="C112" s="50">
        <v>2</v>
      </c>
      <c r="D112" s="48">
        <f>H43</f>
        <v>31.537086391413453</v>
      </c>
      <c r="E112" s="48">
        <f>H103</f>
        <v>33.301552005149347</v>
      </c>
      <c r="F112" s="48">
        <f>E112-D112</f>
        <v>1.7644656137358936</v>
      </c>
      <c r="G112" s="71">
        <f>F112/D112</f>
        <v>5.5948910176315515E-2</v>
      </c>
      <c r="H112" s="46"/>
      <c r="I112" s="46"/>
      <c r="J112" s="46"/>
    </row>
    <row r="113" spans="1:10" x14ac:dyDescent="0.25">
      <c r="A113" s="46"/>
      <c r="B113" s="46"/>
      <c r="C113" s="50">
        <v>10</v>
      </c>
      <c r="D113" s="48">
        <f>H44</f>
        <v>39.674757044084259</v>
      </c>
      <c r="E113" s="48">
        <f>H104</f>
        <v>41.894516462210873</v>
      </c>
      <c r="F113" s="48">
        <f>E113-D113</f>
        <v>2.219759418126614</v>
      </c>
      <c r="G113" s="71">
        <f>F113/D113</f>
        <v>5.5948910176315578E-2</v>
      </c>
      <c r="H113" s="46"/>
      <c r="I113" s="46"/>
      <c r="J113" s="46"/>
    </row>
    <row r="114" spans="1:10" x14ac:dyDescent="0.25">
      <c r="A114" s="46"/>
      <c r="B114" s="46"/>
      <c r="C114" s="46"/>
      <c r="D114" s="46"/>
      <c r="E114" s="46"/>
      <c r="F114" s="46"/>
      <c r="G114" s="46"/>
      <c r="H114" s="46"/>
      <c r="I114" s="46"/>
      <c r="J114" s="46"/>
    </row>
    <row r="115" spans="1:10" ht="57.75" customHeight="1" x14ac:dyDescent="0.25">
      <c r="A115" s="180" t="s">
        <v>430</v>
      </c>
      <c r="B115" s="180"/>
      <c r="C115" s="180"/>
      <c r="D115" s="180"/>
      <c r="E115" s="180"/>
      <c r="F115" s="180"/>
      <c r="G115" s="180"/>
      <c r="H115" s="180"/>
      <c r="I115" s="180"/>
      <c r="J115" s="169"/>
    </row>
    <row r="116" spans="1:10" x14ac:dyDescent="0.25">
      <c r="A116" s="46"/>
      <c r="B116" s="46"/>
      <c r="C116" s="50"/>
      <c r="D116" s="72"/>
      <c r="E116" s="72"/>
      <c r="F116" s="72"/>
      <c r="G116" s="71"/>
      <c r="H116" s="46"/>
      <c r="I116" s="46"/>
      <c r="J116" s="46"/>
    </row>
    <row r="117" spans="1:10" x14ac:dyDescent="0.25">
      <c r="A117" s="47"/>
      <c r="B117" s="46"/>
      <c r="C117" s="46"/>
      <c r="D117" s="46"/>
      <c r="E117" s="46"/>
      <c r="F117" s="46"/>
      <c r="G117" s="46"/>
      <c r="H117" s="46"/>
      <c r="I117" s="46"/>
      <c r="J117" s="46"/>
    </row>
    <row r="118" spans="1:10" x14ac:dyDescent="0.25">
      <c r="A118" s="47"/>
      <c r="B118" s="46"/>
      <c r="C118" s="46"/>
      <c r="D118" s="46"/>
      <c r="E118" s="46"/>
      <c r="F118" s="46"/>
      <c r="G118" s="46"/>
      <c r="H118" s="46"/>
      <c r="I118" s="46"/>
      <c r="J118" s="46"/>
    </row>
    <row r="119" spans="1:10" s="64" customFormat="1" ht="27" customHeight="1" x14ac:dyDescent="0.25">
      <c r="A119" s="73"/>
      <c r="B119" s="73"/>
      <c r="C119" s="73"/>
      <c r="D119" s="73"/>
      <c r="E119" s="73"/>
      <c r="F119" s="73"/>
      <c r="G119" s="73"/>
      <c r="H119" s="73"/>
      <c r="I119" s="73"/>
      <c r="J119" s="73"/>
    </row>
    <row r="120" spans="1:10" x14ac:dyDescent="0.25">
      <c r="A120" s="46"/>
      <c r="B120" s="46"/>
      <c r="C120" s="46"/>
      <c r="D120" s="46"/>
      <c r="E120" s="46"/>
      <c r="F120" s="46"/>
      <c r="G120" s="46"/>
      <c r="H120" s="46"/>
      <c r="I120" s="46"/>
      <c r="J120" s="46"/>
    </row>
    <row r="121" spans="1:10" x14ac:dyDescent="0.25">
      <c r="A121" s="46"/>
      <c r="B121" s="46"/>
      <c r="C121" s="46"/>
      <c r="D121" s="46"/>
      <c r="E121" s="46"/>
      <c r="F121" s="46"/>
      <c r="G121" s="46"/>
      <c r="H121" s="46"/>
      <c r="I121" s="46"/>
      <c r="J121" s="46"/>
    </row>
    <row r="122" spans="1:10" x14ac:dyDescent="0.25">
      <c r="A122" s="46"/>
      <c r="B122" s="46"/>
      <c r="C122" s="54"/>
      <c r="D122" s="54"/>
      <c r="E122" s="46"/>
      <c r="F122" s="54"/>
      <c r="G122" s="54"/>
      <c r="H122" s="46"/>
      <c r="I122" s="46"/>
      <c r="J122" s="46"/>
    </row>
    <row r="123" spans="1:10" x14ac:dyDescent="0.25">
      <c r="A123" s="46"/>
      <c r="B123" s="54"/>
      <c r="C123" s="54"/>
      <c r="D123" s="54"/>
      <c r="E123" s="54"/>
      <c r="F123" s="54"/>
      <c r="G123" s="54"/>
      <c r="H123" s="46"/>
      <c r="I123" s="46"/>
      <c r="J123" s="46"/>
    </row>
    <row r="124" spans="1:10" x14ac:dyDescent="0.25">
      <c r="A124" s="46"/>
      <c r="B124" s="46"/>
      <c r="C124" s="46"/>
      <c r="D124" s="46"/>
      <c r="E124" s="46"/>
      <c r="F124" s="46"/>
      <c r="G124" s="46"/>
      <c r="H124" s="46"/>
      <c r="I124" s="46"/>
      <c r="J124" s="46"/>
    </row>
    <row r="125" spans="1:10" x14ac:dyDescent="0.25">
      <c r="A125" s="46"/>
      <c r="B125" s="46"/>
      <c r="C125" s="46"/>
      <c r="D125" s="46"/>
      <c r="E125" s="46"/>
      <c r="F125" s="46"/>
      <c r="G125" s="46"/>
      <c r="H125" s="46"/>
      <c r="I125" s="46"/>
      <c r="J125" s="46"/>
    </row>
    <row r="126" spans="1:10" x14ac:dyDescent="0.25">
      <c r="A126" s="46"/>
      <c r="B126" s="46"/>
      <c r="C126" s="46"/>
      <c r="D126" s="46"/>
      <c r="E126" s="46"/>
      <c r="F126" s="46"/>
      <c r="G126" s="46"/>
      <c r="H126" s="46"/>
      <c r="I126" s="46"/>
      <c r="J126" s="46"/>
    </row>
    <row r="127" spans="1:10" s="64" customFormat="1" ht="14.25" customHeight="1" x14ac:dyDescent="0.25">
      <c r="A127" s="73"/>
      <c r="B127" s="73"/>
      <c r="C127" s="73"/>
      <c r="D127" s="73"/>
      <c r="E127" s="73"/>
      <c r="F127" s="73"/>
      <c r="G127" s="73"/>
      <c r="H127" s="73"/>
      <c r="I127" s="73"/>
      <c r="J127" s="73"/>
    </row>
    <row r="129" spans="2:7" x14ac:dyDescent="0.25">
      <c r="B129" s="61"/>
    </row>
    <row r="130" spans="2:7" x14ac:dyDescent="0.25">
      <c r="B130" s="74"/>
      <c r="C130" s="54"/>
      <c r="D130" s="54"/>
      <c r="E130" s="54"/>
      <c r="F130" s="54"/>
      <c r="G130" s="54"/>
    </row>
    <row r="131" spans="2:7" x14ac:dyDescent="0.25">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173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237.85213999999999</v>
      </c>
      <c r="C9" s="30">
        <v>36.008780000000002</v>
      </c>
      <c r="D9" s="30">
        <v>1.038</v>
      </c>
      <c r="E9" s="29"/>
      <c r="F9" s="29"/>
      <c r="G9" s="9">
        <f t="shared" ref="G9:G14" si="0">B9/(C9+$D$4)^D9</f>
        <v>1.6540616688027563</v>
      </c>
      <c r="H9" s="9">
        <f t="shared" ref="H9:H14" si="1">B9/(C9+$D$5)^D9</f>
        <v>1.6540616688027563</v>
      </c>
      <c r="J9" s="29"/>
      <c r="K9" s="29"/>
      <c r="L9" s="30"/>
    </row>
    <row r="10" spans="1:12" x14ac:dyDescent="0.25">
      <c r="A10" s="31">
        <v>5</v>
      </c>
      <c r="B10" s="34">
        <v>253.32925</v>
      </c>
      <c r="C10" s="30">
        <v>33.549219999999998</v>
      </c>
      <c r="D10" s="30">
        <v>1.02275</v>
      </c>
      <c r="E10" s="29"/>
      <c r="F10" s="29"/>
      <c r="G10" s="9">
        <f t="shared" si="0"/>
        <v>1.9357025064433269</v>
      </c>
      <c r="H10" s="9">
        <f t="shared" si="1"/>
        <v>1.9357025064433269</v>
      </c>
      <c r="J10" s="29"/>
      <c r="K10" s="29"/>
      <c r="L10" s="30"/>
    </row>
    <row r="11" spans="1:12" x14ac:dyDescent="0.25">
      <c r="A11" s="31">
        <v>10</v>
      </c>
      <c r="B11" s="34">
        <v>262.87425000000002</v>
      </c>
      <c r="C11" s="30">
        <v>32.097470000000001</v>
      </c>
      <c r="D11" s="30">
        <v>1.01352</v>
      </c>
      <c r="E11" s="29"/>
      <c r="F11" s="29"/>
      <c r="G11" s="35">
        <f t="shared" si="0"/>
        <v>2.1255973540241841</v>
      </c>
      <c r="H11" s="118">
        <f t="shared" si="1"/>
        <v>2.1255973540241841</v>
      </c>
      <c r="J11" s="29"/>
      <c r="K11" s="29"/>
      <c r="L11" s="30"/>
    </row>
    <row r="12" spans="1:12" x14ac:dyDescent="0.25">
      <c r="A12" s="31">
        <v>25</v>
      </c>
      <c r="B12" s="34">
        <v>276.43448999999998</v>
      </c>
      <c r="C12" s="30">
        <v>30.083480000000002</v>
      </c>
      <c r="D12" s="30">
        <v>1.00054</v>
      </c>
      <c r="E12" s="29"/>
      <c r="F12" s="29"/>
      <c r="G12" s="9">
        <f t="shared" si="0"/>
        <v>2.4195403362359396</v>
      </c>
      <c r="H12" s="9">
        <f t="shared" si="1"/>
        <v>2.4195403362359396</v>
      </c>
      <c r="J12" s="29"/>
      <c r="K12" s="29"/>
      <c r="L12" s="30"/>
    </row>
    <row r="13" spans="1:12" x14ac:dyDescent="0.25">
      <c r="A13" s="31">
        <v>50</v>
      </c>
      <c r="B13" s="34">
        <v>285.47241000000002</v>
      </c>
      <c r="C13" s="30">
        <v>28.74568</v>
      </c>
      <c r="D13" s="30">
        <v>0.9919</v>
      </c>
      <c r="E13" s="29"/>
      <c r="F13" s="29"/>
      <c r="G13" s="9">
        <f t="shared" si="0"/>
        <v>2.6336740616478869</v>
      </c>
      <c r="H13" s="9">
        <f t="shared" si="1"/>
        <v>2.6336740616478869</v>
      </c>
    </row>
    <row r="14" spans="1:12" x14ac:dyDescent="0.25">
      <c r="A14" s="31">
        <v>100</v>
      </c>
      <c r="B14" s="34">
        <v>293.96606000000003</v>
      </c>
      <c r="C14" s="30">
        <v>27.46491</v>
      </c>
      <c r="D14" s="30">
        <v>0.98372999999999999</v>
      </c>
      <c r="E14" s="29"/>
      <c r="F14" s="29"/>
      <c r="G14" s="9">
        <f t="shared" si="0"/>
        <v>2.8506457580903803</v>
      </c>
      <c r="H14" s="9">
        <f t="shared" si="1"/>
        <v>2.8506457580903803</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6.7481731804388216</v>
      </c>
      <c r="C19" s="30">
        <f t="shared" ref="C19:C26" si="2">A19/60</f>
        <v>8.3333333333333329E-2</v>
      </c>
      <c r="F19" s="29"/>
      <c r="G19" s="29"/>
      <c r="H19" s="29"/>
    </row>
    <row r="20" spans="1:8" x14ac:dyDescent="0.25">
      <c r="A20" s="29">
        <v>10</v>
      </c>
      <c r="B20" s="29">
        <f t="shared" ref="B20:B26" si="3">$B$11/($C$11+A20)^$D$11</f>
        <v>5.9365223807197536</v>
      </c>
      <c r="C20" s="30">
        <f t="shared" si="2"/>
        <v>0.16666666666666666</v>
      </c>
      <c r="F20" s="29"/>
      <c r="G20" s="29"/>
      <c r="H20" s="29"/>
    </row>
    <row r="21" spans="1:8" x14ac:dyDescent="0.25">
      <c r="A21" s="29">
        <v>30</v>
      </c>
      <c r="B21" s="29">
        <f t="shared" si="3"/>
        <v>4.0034257762304479</v>
      </c>
      <c r="C21" s="30">
        <f t="shared" si="2"/>
        <v>0.5</v>
      </c>
      <c r="F21" s="29"/>
      <c r="G21" s="29"/>
      <c r="H21" s="29"/>
    </row>
    <row r="22" spans="1:8" x14ac:dyDescent="0.25">
      <c r="A22" s="29">
        <v>60</v>
      </c>
      <c r="B22" s="29">
        <f t="shared" si="3"/>
        <v>2.6849964622910019</v>
      </c>
      <c r="C22" s="30">
        <f t="shared" si="2"/>
        <v>1</v>
      </c>
      <c r="F22" s="29"/>
      <c r="G22" s="29"/>
      <c r="H22" s="29"/>
    </row>
    <row r="23" spans="1:8" x14ac:dyDescent="0.25">
      <c r="A23" s="29">
        <v>180</v>
      </c>
      <c r="B23" s="29">
        <f t="shared" si="3"/>
        <v>1.1528101689724963</v>
      </c>
      <c r="C23" s="30">
        <f t="shared" si="2"/>
        <v>3</v>
      </c>
      <c r="F23" s="29"/>
      <c r="G23" s="29"/>
      <c r="H23" s="29"/>
    </row>
    <row r="24" spans="1:8" x14ac:dyDescent="0.25">
      <c r="A24" s="29">
        <v>360</v>
      </c>
      <c r="B24" s="29">
        <f t="shared" si="3"/>
        <v>0.61843109668095397</v>
      </c>
      <c r="C24" s="30">
        <f t="shared" si="2"/>
        <v>6</v>
      </c>
      <c r="F24" s="29"/>
      <c r="G24" s="33"/>
      <c r="H24" s="33"/>
    </row>
    <row r="25" spans="1:8" x14ac:dyDescent="0.25">
      <c r="A25" s="29">
        <v>840</v>
      </c>
      <c r="B25" s="29">
        <f t="shared" si="3"/>
        <v>0.27505945673039522</v>
      </c>
      <c r="C25" s="30">
        <f t="shared" si="2"/>
        <v>14</v>
      </c>
      <c r="F25" s="29"/>
      <c r="G25" s="9"/>
      <c r="H25" s="9"/>
    </row>
    <row r="26" spans="1:8" x14ac:dyDescent="0.25">
      <c r="A26" s="29">
        <v>1440</v>
      </c>
      <c r="B26" s="29">
        <f t="shared" si="3"/>
        <v>0.1618009167424245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166</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256.38700999999998</v>
      </c>
      <c r="C9" s="30">
        <v>33.080030000000001</v>
      </c>
      <c r="D9" s="30">
        <v>1.0197799999999999</v>
      </c>
      <c r="E9" s="29"/>
      <c r="F9" s="29"/>
      <c r="G9" s="9">
        <f t="shared" ref="G9:G14" si="0">B9/(C9+$D$4)^D9</f>
        <v>1.9951228524791116</v>
      </c>
      <c r="H9" s="9">
        <f t="shared" ref="H9:H14" si="1">B9/(C9+$D$5)^D9</f>
        <v>1.9951228524791116</v>
      </c>
      <c r="J9" s="29"/>
      <c r="K9" s="29"/>
      <c r="L9" s="30"/>
    </row>
    <row r="10" spans="1:12" x14ac:dyDescent="0.25">
      <c r="A10" s="31">
        <v>5</v>
      </c>
      <c r="B10" s="34">
        <v>269.50522000000001</v>
      </c>
      <c r="C10" s="30">
        <v>31.108280000000001</v>
      </c>
      <c r="D10" s="30">
        <v>1.0071600000000001</v>
      </c>
      <c r="E10" s="29"/>
      <c r="F10" s="29"/>
      <c r="G10" s="9">
        <f t="shared" si="0"/>
        <v>2.2655637053629105</v>
      </c>
      <c r="H10" s="9">
        <f t="shared" si="1"/>
        <v>2.2655637053629105</v>
      </c>
      <c r="J10" s="29"/>
      <c r="K10" s="29"/>
      <c r="L10" s="30"/>
    </row>
    <row r="11" spans="1:12" x14ac:dyDescent="0.25">
      <c r="A11" s="31">
        <v>10</v>
      </c>
      <c r="B11" s="34">
        <v>277.79628000000002</v>
      </c>
      <c r="C11" s="30">
        <v>28.882449999999999</v>
      </c>
      <c r="D11" s="30">
        <v>0.99924000000000002</v>
      </c>
      <c r="E11" s="29"/>
      <c r="F11" s="29"/>
      <c r="G11" s="35">
        <f t="shared" si="0"/>
        <v>2.472513781103348</v>
      </c>
      <c r="H11" s="118">
        <f t="shared" si="1"/>
        <v>2.472513781103348</v>
      </c>
      <c r="J11" s="29"/>
      <c r="K11" s="29"/>
      <c r="L11" s="30"/>
    </row>
    <row r="12" spans="1:12" x14ac:dyDescent="0.25">
      <c r="A12" s="31">
        <v>25</v>
      </c>
      <c r="B12" s="34">
        <v>288.37076999999999</v>
      </c>
      <c r="C12" s="30">
        <v>28.31259</v>
      </c>
      <c r="D12" s="30">
        <v>0.98912</v>
      </c>
      <c r="E12" s="29"/>
      <c r="F12" s="29"/>
      <c r="G12" s="9">
        <f t="shared" si="0"/>
        <v>2.7058750566481753</v>
      </c>
      <c r="H12" s="9">
        <f t="shared" si="1"/>
        <v>2.7058750566481753</v>
      </c>
      <c r="J12" s="29"/>
      <c r="K12" s="29"/>
      <c r="L12" s="30"/>
    </row>
    <row r="13" spans="1:12" x14ac:dyDescent="0.25">
      <c r="A13" s="31">
        <v>50</v>
      </c>
      <c r="B13" s="34">
        <v>295.59257000000002</v>
      </c>
      <c r="C13" s="30">
        <v>27.21407</v>
      </c>
      <c r="D13" s="30">
        <v>0.98214999999999997</v>
      </c>
      <c r="E13" s="29"/>
      <c r="F13" s="29"/>
      <c r="G13" s="9">
        <f t="shared" si="0"/>
        <v>2.8942452628721353</v>
      </c>
      <c r="H13" s="9">
        <f t="shared" si="1"/>
        <v>2.8942452628721353</v>
      </c>
    </row>
    <row r="14" spans="1:12" x14ac:dyDescent="0.25">
      <c r="A14" s="31">
        <v>100</v>
      </c>
      <c r="B14" s="34">
        <v>302.0052</v>
      </c>
      <c r="C14" s="30">
        <v>26.200060000000001</v>
      </c>
      <c r="D14" s="30">
        <v>0.97585999999999995</v>
      </c>
      <c r="E14" s="29"/>
      <c r="F14" s="29"/>
      <c r="G14" s="9">
        <f t="shared" si="0"/>
        <v>3.0733340701540608</v>
      </c>
      <c r="H14" s="9">
        <f t="shared" si="1"/>
        <v>3.0733340701540608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8.2208060176874191</v>
      </c>
      <c r="C19" s="30">
        <f t="shared" ref="C19:C26" si="2">A19/60</f>
        <v>8.3333333333333329E-2</v>
      </c>
      <c r="F19" s="29"/>
      <c r="G19" s="29"/>
      <c r="H19" s="29"/>
    </row>
    <row r="20" spans="1:8" x14ac:dyDescent="0.25">
      <c r="A20" s="29">
        <v>10</v>
      </c>
      <c r="B20" s="29">
        <f t="shared" ref="B20:B26" si="3">$B$11/($C$11+A20)^$D$11</f>
        <v>7.1644196490861196</v>
      </c>
      <c r="C20" s="30">
        <f t="shared" si="2"/>
        <v>0.16666666666666666</v>
      </c>
      <c r="F20" s="29"/>
      <c r="G20" s="29"/>
      <c r="H20" s="29"/>
    </row>
    <row r="21" spans="1:8" x14ac:dyDescent="0.25">
      <c r="A21" s="29">
        <v>30</v>
      </c>
      <c r="B21" s="29">
        <f t="shared" si="3"/>
        <v>4.7324468275129954</v>
      </c>
      <c r="C21" s="30">
        <f t="shared" si="2"/>
        <v>0.5</v>
      </c>
      <c r="F21" s="29"/>
      <c r="G21" s="29"/>
      <c r="H21" s="29"/>
    </row>
    <row r="22" spans="1:8" x14ac:dyDescent="0.25">
      <c r="A22" s="29">
        <v>60</v>
      </c>
      <c r="B22" s="29">
        <f t="shared" si="3"/>
        <v>3.1361115990088893</v>
      </c>
      <c r="C22" s="30">
        <f t="shared" si="2"/>
        <v>1</v>
      </c>
      <c r="F22" s="29"/>
      <c r="G22" s="29"/>
      <c r="H22" s="29"/>
    </row>
    <row r="23" spans="1:8" x14ac:dyDescent="0.25">
      <c r="A23" s="29">
        <v>180</v>
      </c>
      <c r="B23" s="29">
        <f t="shared" si="3"/>
        <v>1.3353269019006699</v>
      </c>
      <c r="C23" s="30">
        <f t="shared" si="2"/>
        <v>3</v>
      </c>
      <c r="F23" s="29"/>
      <c r="G23" s="29"/>
      <c r="H23" s="29"/>
    </row>
    <row r="24" spans="1:8" x14ac:dyDescent="0.25">
      <c r="A24" s="29">
        <v>360</v>
      </c>
      <c r="B24" s="29">
        <f t="shared" si="3"/>
        <v>0.71758994311014623</v>
      </c>
      <c r="C24" s="30">
        <f t="shared" si="2"/>
        <v>6</v>
      </c>
      <c r="F24" s="29"/>
      <c r="G24" s="33"/>
      <c r="H24" s="33"/>
    </row>
    <row r="25" spans="1:8" x14ac:dyDescent="0.25">
      <c r="A25" s="29">
        <v>840</v>
      </c>
      <c r="B25" s="29">
        <f t="shared" si="3"/>
        <v>0.32136532192825784</v>
      </c>
      <c r="C25" s="30">
        <f t="shared" si="2"/>
        <v>14</v>
      </c>
      <c r="F25" s="29"/>
      <c r="G25" s="9"/>
      <c r="H25" s="9"/>
    </row>
    <row r="26" spans="1:8" x14ac:dyDescent="0.25">
      <c r="A26" s="29">
        <v>1440</v>
      </c>
      <c r="B26" s="29">
        <f t="shared" si="3"/>
        <v>0.19017187740663125</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167</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245.63889</v>
      </c>
      <c r="C9" s="30">
        <v>34.752040000000001</v>
      </c>
      <c r="D9" s="30">
        <v>1.03027</v>
      </c>
      <c r="E9" s="29"/>
      <c r="F9" s="29"/>
      <c r="G9" s="9">
        <f t="shared" ref="G9:G14" si="0">B9/(C9+$D$4)^D9</f>
        <v>1.7919498206534197</v>
      </c>
      <c r="H9" s="9">
        <f t="shared" ref="H9:H14" si="1">B9/(C9+$D$5)^D9</f>
        <v>1.7919498206534197</v>
      </c>
      <c r="J9" s="29"/>
      <c r="K9" s="29"/>
      <c r="L9" s="30"/>
    </row>
    <row r="10" spans="1:12" x14ac:dyDescent="0.25">
      <c r="A10" s="31">
        <v>5</v>
      </c>
      <c r="B10" s="34">
        <v>258.82004999999998</v>
      </c>
      <c r="C10" s="30">
        <v>32.709200000000003</v>
      </c>
      <c r="D10" s="30">
        <v>1.01742</v>
      </c>
      <c r="E10" s="29"/>
      <c r="F10" s="29"/>
      <c r="G10" s="9">
        <f t="shared" si="0"/>
        <v>2.0434089850812582</v>
      </c>
      <c r="H10" s="9">
        <f t="shared" si="1"/>
        <v>2.0434089850812582</v>
      </c>
      <c r="J10" s="29"/>
      <c r="K10" s="29"/>
      <c r="L10" s="30"/>
    </row>
    <row r="11" spans="1:12" x14ac:dyDescent="0.25">
      <c r="A11" s="31">
        <v>10</v>
      </c>
      <c r="B11" s="34">
        <v>268.10935999999998</v>
      </c>
      <c r="C11" s="30">
        <v>31.315519999999999</v>
      </c>
      <c r="D11" s="30">
        <v>1.0085</v>
      </c>
      <c r="E11" s="29"/>
      <c r="F11" s="29"/>
      <c r="G11" s="35">
        <f t="shared" si="0"/>
        <v>2.2354817596511798</v>
      </c>
      <c r="H11" s="118">
        <f t="shared" si="1"/>
        <v>2.2354817596511798</v>
      </c>
      <c r="J11" s="29"/>
      <c r="K11" s="29"/>
      <c r="L11" s="30"/>
    </row>
    <row r="12" spans="1:12" x14ac:dyDescent="0.25">
      <c r="A12" s="31">
        <v>25</v>
      </c>
      <c r="B12" s="34">
        <v>280.32646</v>
      </c>
      <c r="C12" s="30">
        <v>29.508700000000001</v>
      </c>
      <c r="D12" s="30">
        <v>0.99682000000000004</v>
      </c>
      <c r="E12" s="29"/>
      <c r="F12" s="29"/>
      <c r="G12" s="9">
        <f t="shared" si="0"/>
        <v>2.5098332345285335</v>
      </c>
      <c r="H12" s="9">
        <f t="shared" si="1"/>
        <v>2.5098332345285335</v>
      </c>
      <c r="J12" s="29"/>
      <c r="K12" s="29"/>
      <c r="L12" s="30"/>
    </row>
    <row r="13" spans="1:12" x14ac:dyDescent="0.25">
      <c r="A13" s="31">
        <v>50</v>
      </c>
      <c r="B13" s="34">
        <v>288.72570999999999</v>
      </c>
      <c r="C13" s="30">
        <v>28.259239999999998</v>
      </c>
      <c r="D13" s="30">
        <v>0.98877999999999999</v>
      </c>
      <c r="E13" s="29"/>
      <c r="F13" s="29"/>
      <c r="G13" s="9">
        <f t="shared" si="0"/>
        <v>2.714833490643954</v>
      </c>
      <c r="H13" s="9">
        <f t="shared" si="1"/>
        <v>2.714833490643954</v>
      </c>
    </row>
    <row r="14" spans="1:12" x14ac:dyDescent="0.25">
      <c r="A14" s="31">
        <v>100</v>
      </c>
      <c r="B14" s="34">
        <v>296.68747999999999</v>
      </c>
      <c r="C14" s="30">
        <v>27.044270000000001</v>
      </c>
      <c r="D14" s="30">
        <v>0.98107999999999995</v>
      </c>
      <c r="E14" s="29"/>
      <c r="F14" s="29"/>
      <c r="G14" s="9">
        <f t="shared" si="0"/>
        <v>2.9240289230581622</v>
      </c>
      <c r="H14" s="9">
        <f t="shared" si="1"/>
        <v>2.9240289230581622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7.1607568069913077</v>
      </c>
      <c r="C19" s="30">
        <f t="shared" ref="C19:C26" si="2">A19/60</f>
        <v>8.3333333333333329E-2</v>
      </c>
      <c r="F19" s="29"/>
      <c r="G19" s="29"/>
      <c r="H19" s="29"/>
    </row>
    <row r="20" spans="1:8" x14ac:dyDescent="0.25">
      <c r="A20" s="29">
        <v>10</v>
      </c>
      <c r="B20" s="29">
        <f t="shared" ref="B20:B26" si="3">$B$11/($C$11+A20)^$D$11</f>
        <v>6.2872653574720339</v>
      </c>
      <c r="C20" s="30">
        <f t="shared" si="2"/>
        <v>0.16666666666666666</v>
      </c>
      <c r="F20" s="29"/>
      <c r="G20" s="29"/>
      <c r="H20" s="29"/>
    </row>
    <row r="21" spans="1:8" x14ac:dyDescent="0.25">
      <c r="A21" s="29">
        <v>30</v>
      </c>
      <c r="B21" s="29">
        <f t="shared" si="3"/>
        <v>4.222281765191533</v>
      </c>
      <c r="C21" s="30">
        <f t="shared" si="2"/>
        <v>0.5</v>
      </c>
      <c r="F21" s="29"/>
      <c r="G21" s="29"/>
      <c r="H21" s="29"/>
    </row>
    <row r="22" spans="1:8" x14ac:dyDescent="0.25">
      <c r="A22" s="29">
        <v>60</v>
      </c>
      <c r="B22" s="29">
        <f t="shared" si="3"/>
        <v>2.8255483961736276</v>
      </c>
      <c r="C22" s="30">
        <f t="shared" si="2"/>
        <v>1</v>
      </c>
      <c r="F22" s="29"/>
      <c r="G22" s="29"/>
      <c r="H22" s="29"/>
    </row>
    <row r="23" spans="1:8" x14ac:dyDescent="0.25">
      <c r="A23" s="29">
        <v>180</v>
      </c>
      <c r="B23" s="29">
        <f t="shared" si="3"/>
        <v>1.2123238923051667</v>
      </c>
      <c r="C23" s="30">
        <f t="shared" si="2"/>
        <v>3</v>
      </c>
      <c r="F23" s="29"/>
      <c r="G23" s="29"/>
      <c r="H23" s="29"/>
    </row>
    <row r="24" spans="1:8" x14ac:dyDescent="0.25">
      <c r="A24" s="29">
        <v>360</v>
      </c>
      <c r="B24" s="29">
        <f t="shared" si="3"/>
        <v>0.65125102974178861</v>
      </c>
      <c r="C24" s="30">
        <f t="shared" si="2"/>
        <v>6</v>
      </c>
      <c r="F24" s="29"/>
      <c r="G24" s="33"/>
      <c r="H24" s="33"/>
    </row>
    <row r="25" spans="1:8" x14ac:dyDescent="0.25">
      <c r="A25" s="29">
        <v>840</v>
      </c>
      <c r="B25" s="29">
        <f t="shared" si="3"/>
        <v>0.29049926293066847</v>
      </c>
      <c r="C25" s="30">
        <f t="shared" si="2"/>
        <v>14</v>
      </c>
      <c r="F25" s="29"/>
      <c r="G25" s="9"/>
      <c r="H25" s="9"/>
    </row>
    <row r="26" spans="1:8" x14ac:dyDescent="0.25">
      <c r="A26" s="29">
        <v>1440</v>
      </c>
      <c r="B26" s="29">
        <f t="shared" si="3"/>
        <v>0.17126974866984873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168</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239.63176000000001</v>
      </c>
      <c r="C9" s="30">
        <v>35.717820000000003</v>
      </c>
      <c r="D9" s="30">
        <v>1.0362199999999999</v>
      </c>
      <c r="E9" s="29"/>
      <c r="F9" s="29"/>
      <c r="G9" s="9">
        <f t="shared" ref="G9:G14" si="0">B9/(C9+$D$4)^D9</f>
        <v>1.6849334373487075</v>
      </c>
      <c r="H9" s="9">
        <f t="shared" ref="H9:H14" si="1">B9/(C9+$D$5)^D9</f>
        <v>1.6849334373487075</v>
      </c>
      <c r="J9" s="29"/>
      <c r="K9" s="29"/>
      <c r="L9" s="30"/>
    </row>
    <row r="10" spans="1:12" x14ac:dyDescent="0.25">
      <c r="A10" s="31">
        <v>5</v>
      </c>
      <c r="B10" s="34">
        <v>254.10798</v>
      </c>
      <c r="C10" s="30">
        <v>33.429119999999998</v>
      </c>
      <c r="D10" s="30">
        <v>1.02199</v>
      </c>
      <c r="E10" s="29"/>
      <c r="F10" s="29"/>
      <c r="G10" s="9">
        <f t="shared" si="0"/>
        <v>1.9507372860934948</v>
      </c>
      <c r="H10" s="9">
        <f t="shared" si="1"/>
        <v>1.9507372860934948</v>
      </c>
      <c r="J10" s="29"/>
      <c r="K10" s="29"/>
      <c r="L10" s="30"/>
    </row>
    <row r="11" spans="1:12" x14ac:dyDescent="0.25">
      <c r="A11" s="31">
        <v>10</v>
      </c>
      <c r="B11" s="34">
        <v>264.19040000000001</v>
      </c>
      <c r="C11" s="30">
        <v>31.900130000000001</v>
      </c>
      <c r="D11" s="30">
        <v>1.0122500000000001</v>
      </c>
      <c r="E11" s="29"/>
      <c r="F11" s="29"/>
      <c r="G11" s="35">
        <f t="shared" si="0"/>
        <v>2.1528828912009037</v>
      </c>
      <c r="H11" s="118">
        <f t="shared" si="1"/>
        <v>2.1528828912009037</v>
      </c>
      <c r="J11" s="29"/>
      <c r="K11" s="29"/>
      <c r="L11" s="30"/>
    </row>
    <row r="12" spans="1:12" x14ac:dyDescent="0.25">
      <c r="A12" s="31">
        <v>25</v>
      </c>
      <c r="B12" s="34">
        <v>277.46460000000002</v>
      </c>
      <c r="C12" s="30">
        <v>29.93141</v>
      </c>
      <c r="D12" s="30">
        <v>0.99956</v>
      </c>
      <c r="E12" s="29"/>
      <c r="F12" s="29"/>
      <c r="G12" s="9">
        <f t="shared" si="0"/>
        <v>2.443112696674508</v>
      </c>
      <c r="H12" s="9">
        <f t="shared" si="1"/>
        <v>2.443112696674508</v>
      </c>
      <c r="J12" s="29"/>
      <c r="K12" s="29"/>
      <c r="L12" s="30"/>
    </row>
    <row r="13" spans="1:12" x14ac:dyDescent="0.25">
      <c r="A13" s="31">
        <v>50</v>
      </c>
      <c r="B13" s="34">
        <v>286.11426999999998</v>
      </c>
      <c r="C13" s="30">
        <v>28.650040000000001</v>
      </c>
      <c r="D13" s="30">
        <v>0.99129</v>
      </c>
      <c r="E13" s="29"/>
      <c r="F13" s="29"/>
      <c r="G13" s="9">
        <f t="shared" si="0"/>
        <v>2.6494433997253037</v>
      </c>
      <c r="H13" s="9">
        <f t="shared" si="1"/>
        <v>2.6494433997253037</v>
      </c>
    </row>
    <row r="14" spans="1:12" x14ac:dyDescent="0.25">
      <c r="A14" s="31">
        <v>100</v>
      </c>
      <c r="B14" s="34">
        <v>294.58067999999997</v>
      </c>
      <c r="C14" s="30">
        <v>27.370539999999998</v>
      </c>
      <c r="D14" s="30">
        <v>0.98312999999999995</v>
      </c>
      <c r="E14" s="29"/>
      <c r="F14" s="29"/>
      <c r="G14" s="9">
        <f t="shared" si="0"/>
        <v>2.8670835949231326</v>
      </c>
      <c r="H14" s="9">
        <f t="shared" si="1"/>
        <v>2.8670835949231326</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6.850039006148112</v>
      </c>
      <c r="C19" s="30">
        <f t="shared" ref="C19:C26" si="2">A19/60</f>
        <v>8.3333333333333329E-2</v>
      </c>
      <c r="F19" s="29"/>
      <c r="G19" s="29"/>
      <c r="H19" s="29"/>
    </row>
    <row r="20" spans="1:8" x14ac:dyDescent="0.25">
      <c r="A20" s="29">
        <v>10</v>
      </c>
      <c r="B20" s="29">
        <f t="shared" ref="B20:B26" si="3">$B$11/($C$11+A20)^$D$11</f>
        <v>6.0232310606968618</v>
      </c>
      <c r="C20" s="30">
        <f t="shared" si="2"/>
        <v>0.16666666666666666</v>
      </c>
      <c r="F20" s="29"/>
      <c r="G20" s="29"/>
      <c r="H20" s="29"/>
    </row>
    <row r="21" spans="1:8" x14ac:dyDescent="0.25">
      <c r="A21" s="29">
        <v>30</v>
      </c>
      <c r="B21" s="29">
        <f t="shared" si="3"/>
        <v>4.0576749109676653</v>
      </c>
      <c r="C21" s="30">
        <f t="shared" si="2"/>
        <v>0.5</v>
      </c>
      <c r="F21" s="29"/>
      <c r="G21" s="29"/>
      <c r="H21" s="29"/>
    </row>
    <row r="22" spans="1:8" x14ac:dyDescent="0.25">
      <c r="A22" s="29">
        <v>60</v>
      </c>
      <c r="B22" s="29">
        <f t="shared" si="3"/>
        <v>2.7198833855765869</v>
      </c>
      <c r="C22" s="30">
        <f t="shared" si="2"/>
        <v>1</v>
      </c>
      <c r="F22" s="29"/>
      <c r="G22" s="29"/>
      <c r="H22" s="29"/>
    </row>
    <row r="23" spans="1:8" x14ac:dyDescent="0.25">
      <c r="A23" s="29">
        <v>180</v>
      </c>
      <c r="B23" s="29">
        <f t="shared" si="3"/>
        <v>1.1675909007363274</v>
      </c>
      <c r="C23" s="30">
        <f t="shared" si="2"/>
        <v>3</v>
      </c>
      <c r="F23" s="29"/>
      <c r="G23" s="29"/>
      <c r="H23" s="29"/>
    </row>
    <row r="24" spans="1:8" x14ac:dyDescent="0.25">
      <c r="A24" s="29">
        <v>360</v>
      </c>
      <c r="B24" s="29">
        <f t="shared" si="3"/>
        <v>0.62657812117546752</v>
      </c>
      <c r="C24" s="30">
        <f t="shared" si="2"/>
        <v>6</v>
      </c>
      <c r="F24" s="29"/>
      <c r="G24" s="33"/>
      <c r="H24" s="33"/>
    </row>
    <row r="25" spans="1:8" x14ac:dyDescent="0.25">
      <c r="A25" s="29">
        <v>840</v>
      </c>
      <c r="B25" s="29">
        <f t="shared" si="3"/>
        <v>0.27888783597539957</v>
      </c>
      <c r="C25" s="30">
        <f t="shared" si="2"/>
        <v>14</v>
      </c>
      <c r="F25" s="29"/>
      <c r="G25" s="9"/>
      <c r="H25" s="9"/>
    </row>
    <row r="26" spans="1:8" x14ac:dyDescent="0.25">
      <c r="A26" s="29">
        <v>1440</v>
      </c>
      <c r="B26" s="29">
        <f t="shared" si="3"/>
        <v>0.16414670867200987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169</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237.34362999999999</v>
      </c>
      <c r="C9" s="30">
        <v>36.09198</v>
      </c>
      <c r="D9" s="30">
        <v>1.03851</v>
      </c>
      <c r="E9" s="29"/>
      <c r="F9" s="29"/>
      <c r="G9" s="9">
        <f t="shared" ref="G9:G14" si="0">B9/(C9+$D$4)^D9</f>
        <v>1.6453153365040181</v>
      </c>
      <c r="H9" s="9">
        <f t="shared" ref="H9:H14" si="1">B9/(C9+$D$5)^D9</f>
        <v>1.6453153365040181</v>
      </c>
      <c r="J9" s="29"/>
      <c r="K9" s="29"/>
      <c r="L9" s="30"/>
    </row>
    <row r="10" spans="1:12" x14ac:dyDescent="0.25">
      <c r="A10" s="31">
        <v>5</v>
      </c>
      <c r="B10" s="34">
        <v>253.41210000000001</v>
      </c>
      <c r="C10" s="30">
        <v>33.536160000000002</v>
      </c>
      <c r="D10" s="30">
        <v>1.0226599999999999</v>
      </c>
      <c r="E10" s="29"/>
      <c r="F10" s="29"/>
      <c r="G10" s="9">
        <f t="shared" si="0"/>
        <v>1.9373866413179679</v>
      </c>
      <c r="H10" s="9">
        <f t="shared" si="1"/>
        <v>1.9373866413179679</v>
      </c>
      <c r="J10" s="29"/>
      <c r="K10" s="29"/>
      <c r="L10" s="30"/>
    </row>
    <row r="11" spans="1:12" x14ac:dyDescent="0.25">
      <c r="A11" s="31">
        <v>10</v>
      </c>
      <c r="B11" s="34">
        <v>263.81267000000003</v>
      </c>
      <c r="C11" s="30">
        <v>31.956610000000001</v>
      </c>
      <c r="D11" s="30">
        <v>1.0126200000000001</v>
      </c>
      <c r="E11" s="29"/>
      <c r="F11" s="29"/>
      <c r="G11" s="35">
        <f t="shared" si="0"/>
        <v>2.1449688883590192</v>
      </c>
      <c r="H11" s="118">
        <f t="shared" si="1"/>
        <v>2.1449688883590192</v>
      </c>
      <c r="J11" s="29"/>
      <c r="K11" s="29"/>
      <c r="L11" s="30"/>
    </row>
    <row r="12" spans="1:12" x14ac:dyDescent="0.25">
      <c r="A12" s="31">
        <v>25</v>
      </c>
      <c r="B12" s="34">
        <v>277.26485000000002</v>
      </c>
      <c r="C12" s="30">
        <v>29.960899999999999</v>
      </c>
      <c r="D12" s="30">
        <v>0.99975000000000003</v>
      </c>
      <c r="E12" s="29"/>
      <c r="F12" s="29"/>
      <c r="G12" s="9">
        <f t="shared" si="0"/>
        <v>2.4385270046176601</v>
      </c>
      <c r="H12" s="9">
        <f t="shared" si="1"/>
        <v>2.4385270046176601</v>
      </c>
      <c r="J12" s="29"/>
      <c r="K12" s="29"/>
      <c r="L12" s="30"/>
    </row>
    <row r="13" spans="1:12" x14ac:dyDescent="0.25">
      <c r="A13" s="31">
        <v>50</v>
      </c>
      <c r="B13" s="34">
        <v>286.66127999999998</v>
      </c>
      <c r="C13" s="30">
        <v>28.568349999999999</v>
      </c>
      <c r="D13" s="30">
        <v>0.99075999999999997</v>
      </c>
      <c r="E13" s="29"/>
      <c r="F13" s="29"/>
      <c r="G13" s="9">
        <f t="shared" si="0"/>
        <v>2.6630775309563584</v>
      </c>
      <c r="H13" s="9">
        <f t="shared" si="1"/>
        <v>2.6630775309563584</v>
      </c>
    </row>
    <row r="14" spans="1:12" x14ac:dyDescent="0.25">
      <c r="A14" s="31">
        <v>100</v>
      </c>
      <c r="B14" s="34">
        <v>295.16735</v>
      </c>
      <c r="C14" s="30">
        <v>27.279720000000001</v>
      </c>
      <c r="D14" s="30">
        <v>0.98255999999999999</v>
      </c>
      <c r="E14" s="29"/>
      <c r="F14" s="29"/>
      <c r="G14" s="9">
        <f t="shared" si="0"/>
        <v>2.8828318113422462</v>
      </c>
      <c r="H14" s="9">
        <f t="shared" si="1"/>
        <v>2.8828318113422462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6.8205476572911365</v>
      </c>
      <c r="C19" s="30">
        <f t="shared" ref="C19:C26" si="2">A19/60</f>
        <v>8.3333333333333329E-2</v>
      </c>
      <c r="F19" s="29"/>
      <c r="G19" s="29"/>
      <c r="H19" s="29"/>
    </row>
    <row r="20" spans="1:8" x14ac:dyDescent="0.25">
      <c r="A20" s="29">
        <v>10</v>
      </c>
      <c r="B20" s="29">
        <f t="shared" ref="B20:B26" si="3">$B$11/($C$11+A20)^$D$11</f>
        <v>5.9981250739786809</v>
      </c>
      <c r="C20" s="30">
        <f t="shared" si="2"/>
        <v>0.16666666666666666</v>
      </c>
      <c r="F20" s="29"/>
      <c r="G20" s="29"/>
      <c r="H20" s="29"/>
    </row>
    <row r="21" spans="1:8" x14ac:dyDescent="0.25">
      <c r="A21" s="29">
        <v>30</v>
      </c>
      <c r="B21" s="29">
        <f t="shared" si="3"/>
        <v>4.0419585565408696</v>
      </c>
      <c r="C21" s="30">
        <f t="shared" si="2"/>
        <v>0.5</v>
      </c>
      <c r="F21" s="29"/>
      <c r="G21" s="29"/>
      <c r="H21" s="29"/>
    </row>
    <row r="22" spans="1:8" x14ac:dyDescent="0.25">
      <c r="A22" s="29">
        <v>60</v>
      </c>
      <c r="B22" s="29">
        <f t="shared" si="3"/>
        <v>2.7097690615377084</v>
      </c>
      <c r="C22" s="30">
        <f t="shared" si="2"/>
        <v>1</v>
      </c>
      <c r="F22" s="29"/>
      <c r="G22" s="29"/>
      <c r="H22" s="29"/>
    </row>
    <row r="23" spans="1:8" x14ac:dyDescent="0.25">
      <c r="A23" s="29">
        <v>180</v>
      </c>
      <c r="B23" s="29">
        <f t="shared" si="3"/>
        <v>1.1632992492029777</v>
      </c>
      <c r="C23" s="30">
        <f t="shared" si="2"/>
        <v>3</v>
      </c>
      <c r="F23" s="29"/>
      <c r="G23" s="29"/>
      <c r="H23" s="29"/>
    </row>
    <row r="24" spans="1:8" x14ac:dyDescent="0.25">
      <c r="A24" s="29">
        <v>360</v>
      </c>
      <c r="B24" s="29">
        <f t="shared" si="3"/>
        <v>0.62421038973819332</v>
      </c>
      <c r="C24" s="30">
        <f t="shared" si="2"/>
        <v>6</v>
      </c>
      <c r="F24" s="29"/>
      <c r="G24" s="33"/>
      <c r="H24" s="33"/>
    </row>
    <row r="25" spans="1:8" x14ac:dyDescent="0.25">
      <c r="A25" s="29">
        <v>840</v>
      </c>
      <c r="B25" s="29">
        <f t="shared" si="3"/>
        <v>0.27777408762219719</v>
      </c>
      <c r="C25" s="30">
        <f t="shared" si="2"/>
        <v>14</v>
      </c>
      <c r="F25" s="29"/>
      <c r="G25" s="9"/>
      <c r="H25" s="9"/>
    </row>
    <row r="26" spans="1:8" x14ac:dyDescent="0.25">
      <c r="A26" s="29">
        <v>1440</v>
      </c>
      <c r="B26" s="29">
        <f t="shared" si="3"/>
        <v>0.16346388113708937</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3.2" x14ac:dyDescent="0.25"/>
  <cols>
    <col min="11" max="11" width="24.33203125" customWidth="1"/>
  </cols>
  <sheetData>
    <row r="2" spans="1:11" x14ac:dyDescent="0.25">
      <c r="K2" t="s">
        <v>131</v>
      </c>
    </row>
    <row r="3" spans="1:11" x14ac:dyDescent="0.25">
      <c r="K3" t="s">
        <v>132</v>
      </c>
    </row>
    <row r="4" spans="1:11" x14ac:dyDescent="0.25">
      <c r="A4" s="207" t="s">
        <v>116</v>
      </c>
      <c r="B4" s="207"/>
      <c r="C4" s="207"/>
      <c r="D4" s="207"/>
      <c r="E4" s="207"/>
      <c r="K4" t="s">
        <v>133</v>
      </c>
    </row>
    <row r="5" spans="1:11" x14ac:dyDescent="0.25">
      <c r="A5" s="207"/>
      <c r="B5" s="207"/>
      <c r="C5" s="207"/>
      <c r="D5" s="207"/>
      <c r="E5" s="207"/>
      <c r="K5" t="s">
        <v>134</v>
      </c>
    </row>
    <row r="6" spans="1:11" ht="26.4" x14ac:dyDescent="0.25">
      <c r="A6" s="38" t="s">
        <v>117</v>
      </c>
      <c r="B6" s="39" t="s">
        <v>118</v>
      </c>
      <c r="C6" s="39" t="s">
        <v>119</v>
      </c>
      <c r="D6" s="39" t="s">
        <v>120</v>
      </c>
      <c r="E6" s="39" t="s">
        <v>121</v>
      </c>
    </row>
    <row r="7" spans="1:11" x14ac:dyDescent="0.25">
      <c r="A7" s="4" t="s">
        <v>122</v>
      </c>
      <c r="B7" s="7">
        <v>0.1</v>
      </c>
      <c r="C7" s="40">
        <v>2.3054999999999999</v>
      </c>
      <c r="D7" s="40">
        <v>-0.51429000000000002</v>
      </c>
      <c r="E7" s="40">
        <v>-0.11749999999999999</v>
      </c>
    </row>
    <row r="8" spans="1:11" x14ac:dyDescent="0.25">
      <c r="A8" s="37"/>
      <c r="B8" s="7">
        <v>0.2</v>
      </c>
      <c r="C8" s="40">
        <v>2.2353700000000001</v>
      </c>
      <c r="D8" s="40">
        <v>-0.50387000000000004</v>
      </c>
      <c r="E8" s="40">
        <v>-8.9289999999999994E-2</v>
      </c>
    </row>
    <row r="9" spans="1:11" x14ac:dyDescent="0.25">
      <c r="A9" s="37"/>
      <c r="B9" s="7">
        <v>0.25</v>
      </c>
      <c r="C9" s="40">
        <v>2.1821899999999999</v>
      </c>
      <c r="D9" s="40">
        <v>-0.48487999999999998</v>
      </c>
      <c r="E9" s="40">
        <v>-6.5890000000000004E-2</v>
      </c>
    </row>
    <row r="10" spans="1:11" x14ac:dyDescent="0.25">
      <c r="A10" s="37"/>
      <c r="B10" s="7">
        <v>0.3</v>
      </c>
      <c r="C10" s="40">
        <v>2.1062400000000001</v>
      </c>
      <c r="D10" s="40">
        <v>-0.45695000000000002</v>
      </c>
      <c r="E10" s="40">
        <v>-2.835E-2</v>
      </c>
    </row>
    <row r="11" spans="1:11" x14ac:dyDescent="0.25">
      <c r="A11" s="37"/>
      <c r="B11" s="7">
        <v>0.35</v>
      </c>
      <c r="C11" s="40">
        <v>2.0030299999999999</v>
      </c>
      <c r="D11" s="40">
        <v>-0.40769</v>
      </c>
      <c r="E11" s="40">
        <v>1.983E-2</v>
      </c>
    </row>
    <row r="12" spans="1:11" x14ac:dyDescent="0.25">
      <c r="A12" s="37"/>
      <c r="B12" s="7">
        <v>0.4</v>
      </c>
      <c r="C12" s="40">
        <v>1.8773299999999999</v>
      </c>
      <c r="D12" s="40">
        <v>-0.32274000000000003</v>
      </c>
      <c r="E12" s="40">
        <v>5.7540000000000001E-2</v>
      </c>
    </row>
    <row r="13" spans="1:11" x14ac:dyDescent="0.25">
      <c r="A13" s="37"/>
      <c r="B13" s="7">
        <v>0.45</v>
      </c>
      <c r="C13" s="40">
        <v>1.76312</v>
      </c>
      <c r="D13" s="40">
        <v>-0.15644</v>
      </c>
      <c r="E13" s="40">
        <v>4.5300000000000002E-3</v>
      </c>
    </row>
    <row r="14" spans="1:11" x14ac:dyDescent="0.25">
      <c r="A14" s="37"/>
      <c r="B14" s="7">
        <v>0.5</v>
      </c>
      <c r="C14" s="40">
        <v>1.67889</v>
      </c>
      <c r="D14" s="40">
        <v>-6.93E-2</v>
      </c>
      <c r="E14" s="40">
        <v>0</v>
      </c>
    </row>
    <row r="15" spans="1:11" x14ac:dyDescent="0.25">
      <c r="A15" s="37"/>
      <c r="B15" s="7"/>
      <c r="C15" s="40"/>
      <c r="D15" s="40"/>
      <c r="E15" s="40"/>
    </row>
    <row r="16" spans="1:11" x14ac:dyDescent="0.25">
      <c r="A16" s="4" t="s">
        <v>123</v>
      </c>
      <c r="B16" s="7">
        <v>0.1</v>
      </c>
      <c r="C16" s="40">
        <v>2.0325000000000002</v>
      </c>
      <c r="D16" s="40">
        <v>-0.31583</v>
      </c>
      <c r="E16" s="40">
        <v>-0.13747999999999999</v>
      </c>
    </row>
    <row r="17" spans="1:5" x14ac:dyDescent="0.25">
      <c r="A17" s="37"/>
      <c r="B17" s="7">
        <v>0.2</v>
      </c>
      <c r="C17" s="40">
        <v>1.91978</v>
      </c>
      <c r="D17" s="40">
        <v>-0.28215000000000001</v>
      </c>
      <c r="E17" s="40">
        <v>-7.0199999999999999E-2</v>
      </c>
    </row>
    <row r="18" spans="1:5" x14ac:dyDescent="0.25">
      <c r="A18" s="37"/>
      <c r="B18" s="7">
        <v>0.25</v>
      </c>
      <c r="C18" s="40">
        <v>1.8384199999999999</v>
      </c>
      <c r="D18" s="40">
        <v>-0.25542999999999999</v>
      </c>
      <c r="E18" s="40">
        <v>-2.597E-2</v>
      </c>
    </row>
    <row r="19" spans="1:5" x14ac:dyDescent="0.25">
      <c r="A19" s="37"/>
      <c r="B19" s="7">
        <v>0.3</v>
      </c>
      <c r="C19" s="40">
        <v>1.7265699999999999</v>
      </c>
      <c r="D19" s="40">
        <v>-0.19825999999999999</v>
      </c>
      <c r="E19" s="40">
        <v>2.6329999999999999E-2</v>
      </c>
    </row>
    <row r="20" spans="1:5" x14ac:dyDescent="0.25">
      <c r="A20" s="37"/>
      <c r="B20" s="7">
        <v>0.5</v>
      </c>
      <c r="C20" s="40">
        <v>1.6341699999999999</v>
      </c>
      <c r="D20" s="40">
        <v>-9.0999999999999998E-2</v>
      </c>
      <c r="E20" s="40">
        <v>0</v>
      </c>
    </row>
    <row r="21" spans="1:5" x14ac:dyDescent="0.25">
      <c r="A21" s="37"/>
      <c r="B21" s="7"/>
      <c r="C21" s="40"/>
      <c r="D21" s="40"/>
      <c r="E21" s="40"/>
    </row>
    <row r="22" spans="1:5" x14ac:dyDescent="0.25">
      <c r="A22" s="4" t="s">
        <v>124</v>
      </c>
      <c r="B22" s="7">
        <v>0.1</v>
      </c>
      <c r="C22" s="40">
        <v>2.5532300000000001</v>
      </c>
      <c r="D22" s="40">
        <v>-0.61512</v>
      </c>
      <c r="E22" s="40">
        <v>-0.16403000000000001</v>
      </c>
    </row>
    <row r="23" spans="1:5" x14ac:dyDescent="0.25">
      <c r="A23" s="37"/>
      <c r="B23" s="7">
        <v>0.3</v>
      </c>
      <c r="C23" s="40">
        <v>2.4653200000000002</v>
      </c>
      <c r="D23" s="40">
        <v>-0.62256999999999996</v>
      </c>
      <c r="E23" s="40">
        <v>-0.11656999999999999</v>
      </c>
    </row>
    <row r="24" spans="1:5" x14ac:dyDescent="0.25">
      <c r="A24" s="37"/>
      <c r="B24" s="7">
        <v>0.35</v>
      </c>
      <c r="C24" s="40">
        <v>2.4189600000000002</v>
      </c>
      <c r="D24" s="40">
        <v>-0.61594000000000004</v>
      </c>
      <c r="E24" s="40">
        <v>-8.8200000000000001E-2</v>
      </c>
    </row>
    <row r="25" spans="1:5" x14ac:dyDescent="0.25">
      <c r="A25" s="37"/>
      <c r="B25" s="7">
        <v>0.4</v>
      </c>
      <c r="C25" s="40">
        <v>2.36409</v>
      </c>
      <c r="D25" s="40">
        <v>-0.59857000000000005</v>
      </c>
      <c r="E25" s="40">
        <v>-5.6210000000000003E-2</v>
      </c>
    </row>
    <row r="26" spans="1:5" x14ac:dyDescent="0.25">
      <c r="A26" s="37"/>
      <c r="B26" s="7">
        <v>0.45</v>
      </c>
      <c r="C26" s="40">
        <v>2.2923800000000001</v>
      </c>
      <c r="D26" s="40">
        <v>-0.57004999999999995</v>
      </c>
      <c r="E26" s="40">
        <v>-2.281E-2</v>
      </c>
    </row>
    <row r="27" spans="1:5" x14ac:dyDescent="0.25">
      <c r="A27" s="37"/>
      <c r="B27" s="7">
        <v>0.5</v>
      </c>
      <c r="C27" s="40">
        <v>2.20282</v>
      </c>
      <c r="D27" s="40">
        <v>-0.51598999999999995</v>
      </c>
      <c r="E27" s="40">
        <v>-1.259E-2</v>
      </c>
    </row>
    <row r="28" spans="1:5" x14ac:dyDescent="0.25">
      <c r="A28" s="37"/>
      <c r="B28" s="7"/>
      <c r="C28" s="40"/>
      <c r="D28" s="40"/>
      <c r="E28" s="40"/>
    </row>
    <row r="29" spans="1:5" x14ac:dyDescent="0.25">
      <c r="A29" s="4" t="s">
        <v>125</v>
      </c>
      <c r="B29" s="7">
        <v>0.1</v>
      </c>
      <c r="C29" s="40">
        <v>2.4731700000000001</v>
      </c>
      <c r="D29" s="40">
        <v>-0.51848000000000005</v>
      </c>
      <c r="E29" s="40">
        <v>-0.17083000000000001</v>
      </c>
    </row>
    <row r="30" spans="1:5" x14ac:dyDescent="0.25">
      <c r="A30" s="37"/>
      <c r="B30" s="7">
        <v>0.3</v>
      </c>
      <c r="C30" s="40">
        <v>2.39628</v>
      </c>
      <c r="D30" s="40">
        <v>-0.51202000000000003</v>
      </c>
      <c r="E30" s="40">
        <v>-0.13245000000000001</v>
      </c>
    </row>
    <row r="31" spans="1:5" x14ac:dyDescent="0.25">
      <c r="A31" s="37"/>
      <c r="B31" s="6">
        <v>0.35</v>
      </c>
      <c r="C31" s="40">
        <v>2.3547699999999998</v>
      </c>
      <c r="D31" s="40">
        <v>-0.49735000000000001</v>
      </c>
      <c r="E31" s="40">
        <v>-0.11985</v>
      </c>
    </row>
    <row r="32" spans="1:5" x14ac:dyDescent="0.25">
      <c r="A32" s="37"/>
      <c r="B32" s="7">
        <v>0.4</v>
      </c>
      <c r="C32" s="40">
        <v>2.3072599999999999</v>
      </c>
      <c r="D32" s="40">
        <v>-0.46540999999999999</v>
      </c>
      <c r="E32" s="40">
        <v>-0.11094</v>
      </c>
    </row>
    <row r="33" spans="1:5" x14ac:dyDescent="0.25">
      <c r="A33" s="37"/>
      <c r="B33" s="7">
        <v>0.45</v>
      </c>
      <c r="C33" s="40">
        <v>2.2487599999999999</v>
      </c>
      <c r="D33" s="40">
        <v>-0.41314000000000001</v>
      </c>
      <c r="E33" s="40">
        <v>-0.11508</v>
      </c>
    </row>
    <row r="34" spans="1:5" x14ac:dyDescent="0.25">
      <c r="A34" s="37"/>
      <c r="B34" s="7">
        <v>0.5</v>
      </c>
      <c r="C34" s="40">
        <v>2.1777199999999999</v>
      </c>
      <c r="D34" s="40">
        <v>-0.36803000000000002</v>
      </c>
      <c r="E34" s="40">
        <v>-9.5250000000000001E-2</v>
      </c>
    </row>
    <row r="35" spans="1:5" x14ac:dyDescent="0.25">
      <c r="B35" s="41"/>
    </row>
    <row r="36" spans="1:5" x14ac:dyDescent="0.25">
      <c r="B36" s="41"/>
    </row>
    <row r="37" spans="1:5" x14ac:dyDescent="0.25">
      <c r="B37" s="41"/>
    </row>
    <row r="38" spans="1:5" x14ac:dyDescent="0.25">
      <c r="B38" s="41"/>
    </row>
    <row r="39" spans="1:5" x14ac:dyDescent="0.25">
      <c r="B39" s="41"/>
    </row>
    <row r="40" spans="1:5" x14ac:dyDescent="0.25">
      <c r="B40" s="41"/>
    </row>
    <row r="41" spans="1:5" x14ac:dyDescent="0.25">
      <c r="B41" s="41"/>
    </row>
    <row r="42" spans="1:5" x14ac:dyDescent="0.25">
      <c r="B42" s="41"/>
    </row>
    <row r="43" spans="1:5" x14ac:dyDescent="0.25">
      <c r="B43" s="41"/>
    </row>
    <row r="44" spans="1:5" x14ac:dyDescent="0.25">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3.2" x14ac:dyDescent="0.25"/>
  <cols>
    <col min="2" max="2" width="21" bestFit="1" customWidth="1"/>
  </cols>
  <sheetData>
    <row r="2" spans="2:10" ht="13.8" thickBot="1" x14ac:dyDescent="0.3">
      <c r="B2" s="204" t="s">
        <v>172</v>
      </c>
      <c r="C2" s="204"/>
      <c r="D2" s="204"/>
      <c r="E2" s="204"/>
      <c r="F2" s="204"/>
      <c r="G2" s="204"/>
      <c r="H2" s="204"/>
      <c r="I2" s="204"/>
      <c r="J2" s="204"/>
    </row>
    <row r="3" spans="2:10" ht="13.8" thickBot="1" x14ac:dyDescent="0.3">
      <c r="B3" s="129" t="s">
        <v>170</v>
      </c>
      <c r="C3" s="130">
        <v>1</v>
      </c>
      <c r="D3" s="130">
        <v>2</v>
      </c>
      <c r="E3" s="130">
        <v>5</v>
      </c>
      <c r="F3" s="130">
        <v>10</v>
      </c>
      <c r="G3" s="130">
        <v>25</v>
      </c>
      <c r="H3" s="130">
        <v>50</v>
      </c>
      <c r="I3" s="130">
        <v>100</v>
      </c>
      <c r="J3" s="131" t="s">
        <v>171</v>
      </c>
    </row>
    <row r="4" spans="2:10" x14ac:dyDescent="0.25">
      <c r="B4" s="128" t="s">
        <v>143</v>
      </c>
      <c r="C4" s="132">
        <v>3.2</v>
      </c>
      <c r="D4" s="132">
        <v>3.5</v>
      </c>
      <c r="E4" s="132">
        <v>4.4000000000000004</v>
      </c>
      <c r="F4" s="132">
        <v>5.2</v>
      </c>
      <c r="G4" s="132">
        <v>6.5</v>
      </c>
      <c r="H4" s="132">
        <v>7.7</v>
      </c>
      <c r="I4" s="132">
        <v>9.1999999999999993</v>
      </c>
      <c r="J4" s="136">
        <v>250</v>
      </c>
    </row>
    <row r="5" spans="2:10" x14ac:dyDescent="0.25">
      <c r="B5" s="126" t="s">
        <v>144</v>
      </c>
      <c r="C5" s="133">
        <v>3.2</v>
      </c>
      <c r="D5" s="133">
        <v>3.7</v>
      </c>
      <c r="E5" s="133">
        <v>4.5999999999999996</v>
      </c>
      <c r="F5" s="133">
        <v>5.3</v>
      </c>
      <c r="G5" s="133">
        <v>6.5</v>
      </c>
      <c r="H5" s="133">
        <v>7.4</v>
      </c>
      <c r="I5" s="133">
        <v>8.4</v>
      </c>
      <c r="J5" s="137">
        <v>250</v>
      </c>
    </row>
    <row r="6" spans="2:10" x14ac:dyDescent="0.25">
      <c r="B6" s="125" t="s">
        <v>174</v>
      </c>
      <c r="C6" s="134">
        <v>3.4</v>
      </c>
      <c r="D6" s="134">
        <v>3.8</v>
      </c>
      <c r="E6" s="134">
        <v>5.0999999999999996</v>
      </c>
      <c r="F6" s="134">
        <v>6</v>
      </c>
      <c r="G6" s="134">
        <v>7</v>
      </c>
      <c r="H6" s="134">
        <v>7.8</v>
      </c>
      <c r="I6" s="134">
        <v>8.9</v>
      </c>
      <c r="J6" s="138">
        <v>300</v>
      </c>
    </row>
    <row r="7" spans="2:10" x14ac:dyDescent="0.25">
      <c r="B7" s="126" t="s">
        <v>145</v>
      </c>
      <c r="C7" s="133">
        <v>3.3</v>
      </c>
      <c r="D7" s="133">
        <v>3.6</v>
      </c>
      <c r="E7" s="133">
        <v>4.5</v>
      </c>
      <c r="F7" s="133">
        <v>5.5</v>
      </c>
      <c r="G7" s="133">
        <v>6.6</v>
      </c>
      <c r="H7" s="133">
        <v>7.9</v>
      </c>
      <c r="I7" s="133">
        <v>9.4</v>
      </c>
      <c r="J7" s="137">
        <v>275</v>
      </c>
    </row>
    <row r="8" spans="2:10" x14ac:dyDescent="0.25">
      <c r="B8" s="125" t="s">
        <v>175</v>
      </c>
      <c r="C8" s="134">
        <v>3.4</v>
      </c>
      <c r="D8" s="134">
        <v>3.6</v>
      </c>
      <c r="E8" s="134">
        <v>4.5999999999999996</v>
      </c>
      <c r="F8" s="134">
        <v>5.5</v>
      </c>
      <c r="G8" s="134">
        <v>6.8</v>
      </c>
      <c r="H8" s="134">
        <v>8.1</v>
      </c>
      <c r="I8" s="134">
        <v>9.4</v>
      </c>
      <c r="J8" s="138">
        <v>300</v>
      </c>
    </row>
    <row r="9" spans="2:10" x14ac:dyDescent="0.25">
      <c r="B9" s="126" t="s">
        <v>176</v>
      </c>
      <c r="C9" s="133">
        <v>3.3</v>
      </c>
      <c r="D9" s="133">
        <v>3.6</v>
      </c>
      <c r="E9" s="133">
        <v>4.5</v>
      </c>
      <c r="F9" s="133">
        <v>5.3</v>
      </c>
      <c r="G9" s="133">
        <v>6.4</v>
      </c>
      <c r="H9" s="133">
        <v>7.3</v>
      </c>
      <c r="I9" s="133">
        <v>8.4</v>
      </c>
      <c r="J9" s="137">
        <v>275</v>
      </c>
    </row>
    <row r="10" spans="2:10" x14ac:dyDescent="0.25">
      <c r="B10" s="125" t="s">
        <v>177</v>
      </c>
      <c r="C10" s="134">
        <v>3.7</v>
      </c>
      <c r="D10" s="134">
        <v>4.5</v>
      </c>
      <c r="E10" s="134">
        <v>5.8</v>
      </c>
      <c r="F10" s="134">
        <v>6.9</v>
      </c>
      <c r="G10" s="134">
        <v>8.4</v>
      </c>
      <c r="H10" s="134">
        <v>9.6999999999999993</v>
      </c>
      <c r="I10" s="134">
        <v>11</v>
      </c>
      <c r="J10" s="138">
        <v>400</v>
      </c>
    </row>
    <row r="11" spans="2:10" x14ac:dyDescent="0.25">
      <c r="B11" s="126" t="s">
        <v>178</v>
      </c>
      <c r="C11" s="133">
        <v>3.5</v>
      </c>
      <c r="D11" s="133">
        <v>3.8</v>
      </c>
      <c r="E11" s="133">
        <v>5</v>
      </c>
      <c r="F11" s="133">
        <v>5.9</v>
      </c>
      <c r="G11" s="133">
        <v>7.2</v>
      </c>
      <c r="H11" s="133">
        <v>8.1999999999999993</v>
      </c>
      <c r="I11" s="133">
        <v>9.4</v>
      </c>
      <c r="J11" s="137">
        <v>350</v>
      </c>
    </row>
    <row r="12" spans="2:10" x14ac:dyDescent="0.25">
      <c r="B12" s="125" t="s">
        <v>179</v>
      </c>
      <c r="C12" s="134">
        <v>3.6</v>
      </c>
      <c r="D12" s="134">
        <v>4</v>
      </c>
      <c r="E12" s="134">
        <v>5.2</v>
      </c>
      <c r="F12" s="134">
        <v>6.2</v>
      </c>
      <c r="G12" s="134">
        <v>7.5</v>
      </c>
      <c r="H12" s="134">
        <v>8.6</v>
      </c>
      <c r="I12" s="134">
        <v>9.8000000000000007</v>
      </c>
      <c r="J12" s="138">
        <v>350</v>
      </c>
    </row>
    <row r="13" spans="2:10" x14ac:dyDescent="0.25">
      <c r="B13" s="126" t="s">
        <v>180</v>
      </c>
      <c r="C13" s="133">
        <v>3.3</v>
      </c>
      <c r="D13" s="133">
        <v>3.5</v>
      </c>
      <c r="E13" s="133">
        <v>4.5</v>
      </c>
      <c r="F13" s="133">
        <v>5.4</v>
      </c>
      <c r="G13" s="133">
        <v>6.7</v>
      </c>
      <c r="H13" s="133">
        <v>7.9</v>
      </c>
      <c r="I13" s="133">
        <v>9.3000000000000007</v>
      </c>
      <c r="J13" s="137">
        <v>275</v>
      </c>
    </row>
    <row r="14" spans="2:10" x14ac:dyDescent="0.25">
      <c r="B14" s="125" t="s">
        <v>148</v>
      </c>
      <c r="C14" s="134">
        <v>3.8</v>
      </c>
      <c r="D14" s="134">
        <v>4.3</v>
      </c>
      <c r="E14" s="134">
        <v>5.5</v>
      </c>
      <c r="F14" s="134">
        <v>6.6</v>
      </c>
      <c r="G14" s="134">
        <v>8</v>
      </c>
      <c r="H14" s="134">
        <v>9.1999999999999993</v>
      </c>
      <c r="I14" s="134">
        <v>10.4</v>
      </c>
      <c r="J14" s="138">
        <v>400</v>
      </c>
    </row>
    <row r="15" spans="2:10" x14ac:dyDescent="0.25">
      <c r="B15" s="126" t="s">
        <v>181</v>
      </c>
      <c r="C15" s="133">
        <v>3</v>
      </c>
      <c r="D15" s="133">
        <v>3.7</v>
      </c>
      <c r="E15" s="133">
        <v>4.7</v>
      </c>
      <c r="F15" s="133">
        <v>5.4</v>
      </c>
      <c r="G15" s="133">
        <v>6.4</v>
      </c>
      <c r="H15" s="133">
        <v>7.3</v>
      </c>
      <c r="I15" s="133">
        <v>8.1</v>
      </c>
      <c r="J15" s="137">
        <v>275</v>
      </c>
    </row>
    <row r="16" spans="2:10" x14ac:dyDescent="0.25">
      <c r="B16" s="125" t="s">
        <v>182</v>
      </c>
      <c r="C16" s="134">
        <v>2.9</v>
      </c>
      <c r="D16" s="134">
        <v>3.6</v>
      </c>
      <c r="E16" s="134">
        <v>4.5999999999999996</v>
      </c>
      <c r="F16" s="134">
        <v>5.3</v>
      </c>
      <c r="G16" s="134">
        <v>6.3</v>
      </c>
      <c r="H16" s="134">
        <v>7.1</v>
      </c>
      <c r="I16" s="134">
        <v>8</v>
      </c>
      <c r="J16" s="138">
        <v>250</v>
      </c>
    </row>
    <row r="17" spans="2:10" x14ac:dyDescent="0.25">
      <c r="B17" s="126" t="s">
        <v>150</v>
      </c>
      <c r="C17" s="133">
        <v>3.1</v>
      </c>
      <c r="D17" s="133">
        <v>3.5</v>
      </c>
      <c r="E17" s="133">
        <v>4.5</v>
      </c>
      <c r="F17" s="133">
        <v>5.3</v>
      </c>
      <c r="G17" s="133">
        <v>6.6</v>
      </c>
      <c r="H17" s="133">
        <v>7.7</v>
      </c>
      <c r="I17" s="133">
        <v>9</v>
      </c>
      <c r="J17" s="137">
        <v>275</v>
      </c>
    </row>
    <row r="18" spans="2:10" x14ac:dyDescent="0.25">
      <c r="B18" s="125" t="s">
        <v>183</v>
      </c>
      <c r="C18" s="134">
        <v>3.4</v>
      </c>
      <c r="D18" s="134">
        <v>3.7</v>
      </c>
      <c r="E18" s="134">
        <v>4.7</v>
      </c>
      <c r="F18" s="134">
        <v>5.6</v>
      </c>
      <c r="G18" s="134">
        <v>7</v>
      </c>
      <c r="H18" s="134">
        <v>8.1999999999999993</v>
      </c>
      <c r="I18" s="134">
        <v>9.5</v>
      </c>
      <c r="J18" s="138">
        <v>300</v>
      </c>
    </row>
    <row r="19" spans="2:10" x14ac:dyDescent="0.25">
      <c r="B19" s="126" t="s">
        <v>184</v>
      </c>
      <c r="C19" s="133">
        <v>3.5</v>
      </c>
      <c r="D19" s="133">
        <v>3.5</v>
      </c>
      <c r="E19" s="133">
        <v>4.5</v>
      </c>
      <c r="F19" s="133">
        <v>5.4</v>
      </c>
      <c r="G19" s="133">
        <v>6.7</v>
      </c>
      <c r="H19" s="133">
        <v>7.9</v>
      </c>
      <c r="I19" s="133">
        <v>9.1999999999999993</v>
      </c>
      <c r="J19" s="137">
        <v>350</v>
      </c>
    </row>
    <row r="20" spans="2:10" x14ac:dyDescent="0.25">
      <c r="B20" s="125" t="s">
        <v>185</v>
      </c>
      <c r="C20" s="134">
        <v>3.6</v>
      </c>
      <c r="D20" s="134">
        <v>4</v>
      </c>
      <c r="E20" s="134">
        <v>5.2</v>
      </c>
      <c r="F20" s="134">
        <v>6.1</v>
      </c>
      <c r="G20" s="134">
        <v>7.5</v>
      </c>
      <c r="H20" s="134">
        <v>8.6</v>
      </c>
      <c r="I20" s="134">
        <v>9.6999999999999993</v>
      </c>
      <c r="J20" s="138">
        <v>350</v>
      </c>
    </row>
    <row r="21" spans="2:10" x14ac:dyDescent="0.25">
      <c r="B21" s="126" t="s">
        <v>186</v>
      </c>
      <c r="C21" s="133">
        <v>3.2</v>
      </c>
      <c r="D21" s="133">
        <v>3.5</v>
      </c>
      <c r="E21" s="133">
        <v>4.5</v>
      </c>
      <c r="F21" s="133">
        <v>5.4</v>
      </c>
      <c r="G21" s="133">
        <v>6.7</v>
      </c>
      <c r="H21" s="133">
        <v>8</v>
      </c>
      <c r="I21" s="133">
        <v>9.3000000000000007</v>
      </c>
      <c r="J21" s="137">
        <v>300</v>
      </c>
    </row>
    <row r="22" spans="2:10" x14ac:dyDescent="0.25">
      <c r="B22" s="125" t="s">
        <v>222</v>
      </c>
      <c r="C22" s="134">
        <v>3.3</v>
      </c>
      <c r="D22" s="134">
        <v>3.6</v>
      </c>
      <c r="E22" s="134">
        <v>4.7</v>
      </c>
      <c r="F22" s="134">
        <v>5.5</v>
      </c>
      <c r="G22" s="134">
        <v>6.8</v>
      </c>
      <c r="H22" s="134">
        <v>8.8000000000000007</v>
      </c>
      <c r="I22" s="134">
        <v>10</v>
      </c>
      <c r="J22" s="138">
        <v>325</v>
      </c>
    </row>
    <row r="23" spans="2:10" x14ac:dyDescent="0.25">
      <c r="B23" s="126" t="s">
        <v>221</v>
      </c>
      <c r="C23" s="133">
        <v>3.4</v>
      </c>
      <c r="D23" s="133">
        <v>3.8</v>
      </c>
      <c r="E23" s="133">
        <v>4.9000000000000004</v>
      </c>
      <c r="F23" s="133">
        <v>5.8</v>
      </c>
      <c r="G23" s="133">
        <v>7.1</v>
      </c>
      <c r="H23" s="133">
        <v>8.1</v>
      </c>
      <c r="I23" s="133">
        <v>9.3000000000000007</v>
      </c>
      <c r="J23" s="137">
        <v>325</v>
      </c>
    </row>
    <row r="24" spans="2:10" x14ac:dyDescent="0.25">
      <c r="B24" s="125" t="s">
        <v>220</v>
      </c>
      <c r="C24" s="134">
        <v>3.6</v>
      </c>
      <c r="D24" s="134">
        <v>4.2</v>
      </c>
      <c r="E24" s="134">
        <v>5.4</v>
      </c>
      <c r="F24" s="134">
        <v>6.4</v>
      </c>
      <c r="G24" s="134">
        <v>7.8</v>
      </c>
      <c r="H24" s="134">
        <v>8.9</v>
      </c>
      <c r="I24" s="134">
        <v>10.1</v>
      </c>
      <c r="J24" s="138">
        <v>325</v>
      </c>
    </row>
    <row r="25" spans="2:10" x14ac:dyDescent="0.25">
      <c r="B25" s="126" t="s">
        <v>219</v>
      </c>
      <c r="C25" s="133">
        <v>3.2</v>
      </c>
      <c r="D25" s="133">
        <v>3.1</v>
      </c>
      <c r="E25" s="133">
        <v>4.5</v>
      </c>
      <c r="F25" s="133">
        <v>5.2</v>
      </c>
      <c r="G25" s="133">
        <v>6.3</v>
      </c>
      <c r="H25" s="133">
        <v>7.2</v>
      </c>
      <c r="I25" s="133">
        <v>8.1999999999999993</v>
      </c>
      <c r="J25" s="137">
        <v>250</v>
      </c>
    </row>
    <row r="26" spans="2:10" x14ac:dyDescent="0.25">
      <c r="B26" s="125" t="s">
        <v>218</v>
      </c>
      <c r="C26" s="134">
        <v>3</v>
      </c>
      <c r="D26" s="134">
        <v>3.5</v>
      </c>
      <c r="E26" s="134">
        <v>4.4000000000000004</v>
      </c>
      <c r="F26" s="134">
        <v>5.0999999999999996</v>
      </c>
      <c r="G26" s="134">
        <v>6.2</v>
      </c>
      <c r="H26" s="134">
        <v>7.1</v>
      </c>
      <c r="I26" s="134">
        <v>8</v>
      </c>
      <c r="J26" s="138">
        <v>250</v>
      </c>
    </row>
    <row r="27" spans="2:10" x14ac:dyDescent="0.25">
      <c r="B27" s="126" t="s">
        <v>217</v>
      </c>
      <c r="C27" s="133">
        <v>3.3</v>
      </c>
      <c r="D27" s="133">
        <v>3.5</v>
      </c>
      <c r="E27" s="133">
        <v>4.5</v>
      </c>
      <c r="F27" s="133">
        <v>5.4</v>
      </c>
      <c r="G27" s="133">
        <v>6.7</v>
      </c>
      <c r="H27" s="133">
        <v>7.9</v>
      </c>
      <c r="I27" s="133">
        <v>9.1999999999999993</v>
      </c>
      <c r="J27" s="137">
        <v>325</v>
      </c>
    </row>
    <row r="28" spans="2:10" x14ac:dyDescent="0.25">
      <c r="B28" s="125" t="s">
        <v>216</v>
      </c>
      <c r="C28" s="134">
        <v>3.3</v>
      </c>
      <c r="D28" s="134">
        <v>3.7</v>
      </c>
      <c r="E28" s="134">
        <v>4.7</v>
      </c>
      <c r="F28" s="134">
        <v>5.6</v>
      </c>
      <c r="G28" s="134">
        <v>7</v>
      </c>
      <c r="H28" s="134">
        <v>8.1999999999999993</v>
      </c>
      <c r="I28" s="134">
        <v>9.6</v>
      </c>
      <c r="J28" s="138">
        <v>325</v>
      </c>
    </row>
    <row r="29" spans="2:10" x14ac:dyDescent="0.25">
      <c r="B29" s="126" t="s">
        <v>215</v>
      </c>
      <c r="C29" s="133">
        <v>3.6</v>
      </c>
      <c r="D29" s="133">
        <v>4.5999999999999996</v>
      </c>
      <c r="E29" s="133">
        <v>5.9</v>
      </c>
      <c r="F29" s="133">
        <v>7</v>
      </c>
      <c r="G29" s="133">
        <v>8.5</v>
      </c>
      <c r="H29" s="133">
        <v>9.8000000000000007</v>
      </c>
      <c r="I29" s="133">
        <v>11.1</v>
      </c>
      <c r="J29" s="137">
        <v>350</v>
      </c>
    </row>
    <row r="30" spans="2:10" x14ac:dyDescent="0.25">
      <c r="B30" s="125" t="s">
        <v>214</v>
      </c>
      <c r="C30" s="134">
        <v>3.6</v>
      </c>
      <c r="D30" s="134">
        <v>3.9</v>
      </c>
      <c r="E30" s="134">
        <v>5.0999999999999996</v>
      </c>
      <c r="F30" s="134">
        <v>6</v>
      </c>
      <c r="G30" s="134">
        <v>7.4</v>
      </c>
      <c r="H30" s="134">
        <v>8.4</v>
      </c>
      <c r="I30" s="134">
        <v>9.6</v>
      </c>
      <c r="J30" s="138">
        <v>350</v>
      </c>
    </row>
    <row r="31" spans="2:10" x14ac:dyDescent="0.25">
      <c r="B31" s="126" t="s">
        <v>213</v>
      </c>
      <c r="C31" s="133">
        <v>4</v>
      </c>
      <c r="D31" s="133">
        <v>4.2</v>
      </c>
      <c r="E31" s="133">
        <v>5.3</v>
      </c>
      <c r="F31" s="133">
        <v>6.1</v>
      </c>
      <c r="G31" s="133">
        <v>7.3</v>
      </c>
      <c r="H31" s="133">
        <v>8.3000000000000007</v>
      </c>
      <c r="I31" s="133">
        <v>9.3000000000000007</v>
      </c>
      <c r="J31" s="137">
        <v>300</v>
      </c>
    </row>
    <row r="32" spans="2:10" x14ac:dyDescent="0.25">
      <c r="B32" s="125" t="s">
        <v>212</v>
      </c>
      <c r="C32" s="134">
        <v>3.4</v>
      </c>
      <c r="D32" s="134">
        <v>3.7</v>
      </c>
      <c r="E32" s="134">
        <v>4.5999999999999996</v>
      </c>
      <c r="F32" s="134">
        <v>5.4</v>
      </c>
      <c r="G32" s="134">
        <v>6.7</v>
      </c>
      <c r="H32" s="134">
        <v>7.8</v>
      </c>
      <c r="I32" s="134">
        <v>9.1</v>
      </c>
      <c r="J32" s="138">
        <v>300</v>
      </c>
    </row>
    <row r="33" spans="2:10" x14ac:dyDescent="0.25">
      <c r="B33" s="126" t="s">
        <v>156</v>
      </c>
      <c r="C33" s="133">
        <v>3.1</v>
      </c>
      <c r="D33" s="133">
        <v>3.5</v>
      </c>
      <c r="E33" s="133">
        <v>4.4000000000000004</v>
      </c>
      <c r="F33" s="133">
        <v>5.0999999999999996</v>
      </c>
      <c r="G33" s="133">
        <v>6.4</v>
      </c>
      <c r="H33" s="133">
        <v>7.6</v>
      </c>
      <c r="I33" s="133">
        <v>9</v>
      </c>
      <c r="J33" s="137">
        <v>250</v>
      </c>
    </row>
    <row r="34" spans="2:10" x14ac:dyDescent="0.25">
      <c r="B34" s="125" t="s">
        <v>211</v>
      </c>
      <c r="C34" s="134">
        <v>3.4</v>
      </c>
      <c r="D34" s="134">
        <v>3.8</v>
      </c>
      <c r="E34" s="134">
        <v>4.9000000000000004</v>
      </c>
      <c r="F34" s="134">
        <v>5.8</v>
      </c>
      <c r="G34" s="134">
        <v>7.1</v>
      </c>
      <c r="H34" s="134">
        <v>8.1999999999999993</v>
      </c>
      <c r="I34" s="134">
        <v>9.3000000000000007</v>
      </c>
      <c r="J34" s="138">
        <v>325</v>
      </c>
    </row>
    <row r="35" spans="2:10" x14ac:dyDescent="0.25">
      <c r="B35" s="126" t="s">
        <v>210</v>
      </c>
      <c r="C35" s="133">
        <v>3.4</v>
      </c>
      <c r="D35" s="133">
        <v>4.2</v>
      </c>
      <c r="E35" s="133">
        <v>5.4</v>
      </c>
      <c r="F35" s="133">
        <v>6.4</v>
      </c>
      <c r="G35" s="133">
        <v>7.8</v>
      </c>
      <c r="H35" s="133">
        <v>9</v>
      </c>
      <c r="I35" s="133">
        <v>10.199999999999999</v>
      </c>
      <c r="J35" s="137">
        <v>325</v>
      </c>
    </row>
    <row r="36" spans="2:10" x14ac:dyDescent="0.25">
      <c r="B36" s="125" t="s">
        <v>209</v>
      </c>
      <c r="C36" s="134">
        <v>3.4</v>
      </c>
      <c r="D36" s="134">
        <v>4.0999999999999996</v>
      </c>
      <c r="E36" s="134">
        <v>5.3</v>
      </c>
      <c r="F36" s="134">
        <v>6.3</v>
      </c>
      <c r="G36" s="134">
        <v>7.9</v>
      </c>
      <c r="H36" s="134">
        <v>9.3000000000000007</v>
      </c>
      <c r="I36" s="134">
        <v>10.8</v>
      </c>
      <c r="J36" s="138">
        <v>350</v>
      </c>
    </row>
    <row r="37" spans="2:10" x14ac:dyDescent="0.25">
      <c r="B37" s="126" t="s">
        <v>208</v>
      </c>
      <c r="C37" s="133">
        <v>3.6</v>
      </c>
      <c r="D37" s="133">
        <v>4.2</v>
      </c>
      <c r="E37" s="133">
        <v>5.4</v>
      </c>
      <c r="F37" s="133">
        <v>6.4</v>
      </c>
      <c r="G37" s="133">
        <v>7.8</v>
      </c>
      <c r="H37" s="133">
        <v>9</v>
      </c>
      <c r="I37" s="133">
        <v>10.199999999999999</v>
      </c>
      <c r="J37" s="137">
        <v>350</v>
      </c>
    </row>
    <row r="38" spans="2:10" x14ac:dyDescent="0.25">
      <c r="B38" s="125" t="s">
        <v>207</v>
      </c>
      <c r="C38" s="134">
        <v>3.5</v>
      </c>
      <c r="D38" s="134">
        <v>4.2</v>
      </c>
      <c r="E38" s="134">
        <v>5.4</v>
      </c>
      <c r="F38" s="134">
        <v>6.4</v>
      </c>
      <c r="G38" s="134">
        <v>7.8</v>
      </c>
      <c r="H38" s="134">
        <v>9</v>
      </c>
      <c r="I38" s="134">
        <v>10.199999999999999</v>
      </c>
      <c r="J38" s="138">
        <v>350</v>
      </c>
    </row>
    <row r="39" spans="2:10" x14ac:dyDescent="0.25">
      <c r="B39" s="126" t="s">
        <v>206</v>
      </c>
      <c r="C39" s="133">
        <v>3.1</v>
      </c>
      <c r="D39" s="133">
        <v>3.5</v>
      </c>
      <c r="E39" s="133">
        <v>4.4000000000000004</v>
      </c>
      <c r="F39" s="133">
        <v>5.0999999999999996</v>
      </c>
      <c r="G39" s="133">
        <v>6.2</v>
      </c>
      <c r="H39" s="133">
        <v>7.1</v>
      </c>
      <c r="I39" s="133">
        <v>8.1</v>
      </c>
      <c r="J39" s="137">
        <v>275</v>
      </c>
    </row>
    <row r="40" spans="2:10" x14ac:dyDescent="0.25">
      <c r="B40" s="125" t="s">
        <v>205</v>
      </c>
      <c r="C40" s="134">
        <v>3</v>
      </c>
      <c r="D40" s="134">
        <v>3.5</v>
      </c>
      <c r="E40" s="134">
        <v>4.4000000000000004</v>
      </c>
      <c r="F40" s="134">
        <v>5.2</v>
      </c>
      <c r="G40" s="134">
        <v>6.2</v>
      </c>
      <c r="H40" s="134">
        <v>7</v>
      </c>
      <c r="I40" s="134">
        <v>7.9</v>
      </c>
      <c r="J40" s="138">
        <v>250</v>
      </c>
    </row>
    <row r="41" spans="2:10" x14ac:dyDescent="0.25">
      <c r="B41" s="126" t="s">
        <v>158</v>
      </c>
      <c r="C41" s="133">
        <v>3.1</v>
      </c>
      <c r="D41" s="133">
        <v>3.6</v>
      </c>
      <c r="E41" s="133">
        <v>4.4000000000000004</v>
      </c>
      <c r="F41" s="133">
        <v>5.2</v>
      </c>
      <c r="G41" s="133">
        <v>6.5</v>
      </c>
      <c r="H41" s="133">
        <v>7.7</v>
      </c>
      <c r="I41" s="133">
        <v>9.1999999999999993</v>
      </c>
      <c r="J41" s="137">
        <v>250</v>
      </c>
    </row>
    <row r="42" spans="2:10" x14ac:dyDescent="0.25">
      <c r="B42" s="125" t="s">
        <v>204</v>
      </c>
      <c r="C42" s="134">
        <v>3.2</v>
      </c>
      <c r="D42" s="134">
        <v>3.5</v>
      </c>
      <c r="E42" s="134">
        <v>4.5</v>
      </c>
      <c r="F42" s="134">
        <v>5.4</v>
      </c>
      <c r="G42" s="134">
        <v>6.7</v>
      </c>
      <c r="H42" s="134">
        <v>7.9</v>
      </c>
      <c r="I42" s="134">
        <v>9.3000000000000007</v>
      </c>
      <c r="J42" s="138">
        <v>275</v>
      </c>
    </row>
    <row r="43" spans="2:10" x14ac:dyDescent="0.25">
      <c r="B43" s="126" t="s">
        <v>159</v>
      </c>
      <c r="C43" s="133">
        <v>3.1</v>
      </c>
      <c r="D43" s="133">
        <v>3.6</v>
      </c>
      <c r="E43" s="133">
        <v>4.5</v>
      </c>
      <c r="F43" s="133">
        <v>5.3</v>
      </c>
      <c r="G43" s="133">
        <v>6.4</v>
      </c>
      <c r="H43" s="133">
        <v>7.3</v>
      </c>
      <c r="I43" s="133">
        <v>8.3000000000000007</v>
      </c>
      <c r="J43" s="137">
        <v>250</v>
      </c>
    </row>
    <row r="44" spans="2:10" x14ac:dyDescent="0.25">
      <c r="B44" s="125" t="s">
        <v>203</v>
      </c>
      <c r="C44" s="134">
        <v>3.3</v>
      </c>
      <c r="D44" s="134">
        <v>3.7</v>
      </c>
      <c r="E44" s="134">
        <v>4.8</v>
      </c>
      <c r="F44" s="134">
        <v>5.7</v>
      </c>
      <c r="G44" s="134">
        <v>6.9</v>
      </c>
      <c r="H44" s="134">
        <v>8</v>
      </c>
      <c r="I44" s="134">
        <v>9.1</v>
      </c>
      <c r="J44" s="138">
        <v>325</v>
      </c>
    </row>
    <row r="45" spans="2:10" x14ac:dyDescent="0.25">
      <c r="B45" s="126" t="s">
        <v>202</v>
      </c>
      <c r="C45" s="133">
        <v>3.4</v>
      </c>
      <c r="D45" s="133">
        <v>4.2</v>
      </c>
      <c r="E45" s="133">
        <v>5.5</v>
      </c>
      <c r="F45" s="133">
        <v>6.5</v>
      </c>
      <c r="G45" s="133">
        <v>7.9</v>
      </c>
      <c r="H45" s="133">
        <v>9.1</v>
      </c>
      <c r="I45" s="133">
        <v>10.3</v>
      </c>
      <c r="J45" s="137">
        <v>325</v>
      </c>
    </row>
    <row r="46" spans="2:10" x14ac:dyDescent="0.25">
      <c r="B46" s="125" t="s">
        <v>201</v>
      </c>
      <c r="C46" s="134">
        <v>3.2</v>
      </c>
      <c r="D46" s="134">
        <v>3.5</v>
      </c>
      <c r="E46" s="134">
        <v>4.5</v>
      </c>
      <c r="F46" s="134">
        <v>5.4</v>
      </c>
      <c r="G46" s="134">
        <v>6.5</v>
      </c>
      <c r="H46" s="134">
        <v>7.5</v>
      </c>
      <c r="I46" s="134">
        <v>8.5</v>
      </c>
      <c r="J46" s="138">
        <v>300</v>
      </c>
    </row>
    <row r="47" spans="2:10" x14ac:dyDescent="0.25">
      <c r="B47" s="126" t="s">
        <v>160</v>
      </c>
      <c r="C47" s="133">
        <v>3.2</v>
      </c>
      <c r="D47" s="133">
        <v>3.5</v>
      </c>
      <c r="E47" s="133">
        <v>4.4000000000000004</v>
      </c>
      <c r="F47" s="133">
        <v>5.2</v>
      </c>
      <c r="G47" s="133">
        <v>6.4</v>
      </c>
      <c r="H47" s="133">
        <v>7.5</v>
      </c>
      <c r="I47" s="133">
        <v>8.9</v>
      </c>
      <c r="J47" s="137">
        <v>250</v>
      </c>
    </row>
    <row r="48" spans="2:10" x14ac:dyDescent="0.25">
      <c r="B48" s="125" t="s">
        <v>162</v>
      </c>
      <c r="C48" s="134">
        <v>3</v>
      </c>
      <c r="D48" s="134">
        <v>3.6</v>
      </c>
      <c r="E48" s="134">
        <v>4.5</v>
      </c>
      <c r="F48" s="134">
        <v>5.3</v>
      </c>
      <c r="G48" s="134">
        <v>6.4</v>
      </c>
      <c r="H48" s="134">
        <v>7.3</v>
      </c>
      <c r="I48" s="134">
        <v>8.4</v>
      </c>
      <c r="J48" s="138">
        <v>250</v>
      </c>
    </row>
    <row r="49" spans="2:10" x14ac:dyDescent="0.25">
      <c r="B49" s="126" t="s">
        <v>200</v>
      </c>
      <c r="C49" s="133">
        <v>4.5</v>
      </c>
      <c r="D49" s="133">
        <v>4.7</v>
      </c>
      <c r="E49" s="133">
        <v>5.8</v>
      </c>
      <c r="F49" s="133">
        <v>6.7</v>
      </c>
      <c r="G49" s="133">
        <v>7.8</v>
      </c>
      <c r="H49" s="133">
        <v>8.8000000000000007</v>
      </c>
      <c r="I49" s="133">
        <v>9.8000000000000007</v>
      </c>
      <c r="J49" s="137">
        <v>300</v>
      </c>
    </row>
    <row r="50" spans="2:10" x14ac:dyDescent="0.25">
      <c r="B50" s="125" t="s">
        <v>199</v>
      </c>
      <c r="C50" s="134">
        <v>3.5</v>
      </c>
      <c r="D50" s="134">
        <v>3.8</v>
      </c>
      <c r="E50" s="134">
        <v>4.7</v>
      </c>
      <c r="F50" s="134">
        <v>5.5</v>
      </c>
      <c r="G50" s="134">
        <v>6.6</v>
      </c>
      <c r="H50" s="134">
        <v>7.6</v>
      </c>
      <c r="I50" s="134">
        <v>8.6</v>
      </c>
      <c r="J50" s="138">
        <v>300</v>
      </c>
    </row>
    <row r="51" spans="2:10" x14ac:dyDescent="0.25">
      <c r="B51" s="126" t="s">
        <v>198</v>
      </c>
      <c r="C51" s="133">
        <v>3.3</v>
      </c>
      <c r="D51" s="133">
        <v>3.8</v>
      </c>
      <c r="E51" s="133">
        <v>4.9000000000000004</v>
      </c>
      <c r="F51" s="133">
        <v>5.8</v>
      </c>
      <c r="G51" s="133">
        <v>7.1</v>
      </c>
      <c r="H51" s="133">
        <v>8.1</v>
      </c>
      <c r="I51" s="133">
        <v>9.3000000000000007</v>
      </c>
      <c r="J51" s="137">
        <v>275</v>
      </c>
    </row>
    <row r="52" spans="2:10" x14ac:dyDescent="0.25">
      <c r="B52" s="125" t="s">
        <v>197</v>
      </c>
      <c r="C52" s="134">
        <v>3.3</v>
      </c>
      <c r="D52" s="134">
        <v>3.6</v>
      </c>
      <c r="E52" s="134">
        <v>4.5</v>
      </c>
      <c r="F52" s="134">
        <v>5.4</v>
      </c>
      <c r="G52" s="134">
        <v>6.8</v>
      </c>
      <c r="H52" s="134">
        <v>8</v>
      </c>
      <c r="I52" s="134">
        <v>9.3000000000000007</v>
      </c>
      <c r="J52" s="138">
        <v>275</v>
      </c>
    </row>
    <row r="53" spans="2:10" x14ac:dyDescent="0.25">
      <c r="B53" s="126" t="s">
        <v>196</v>
      </c>
      <c r="C53" s="133">
        <v>4.2</v>
      </c>
      <c r="D53" s="133">
        <v>5.0999999999999996</v>
      </c>
      <c r="E53" s="133">
        <v>6.2</v>
      </c>
      <c r="F53" s="133">
        <v>7.2</v>
      </c>
      <c r="G53" s="133">
        <v>8.5</v>
      </c>
      <c r="H53" s="133">
        <v>9.5</v>
      </c>
      <c r="I53" s="133">
        <v>10.6</v>
      </c>
      <c r="J53" s="137">
        <v>300</v>
      </c>
    </row>
    <row r="54" spans="2:10" x14ac:dyDescent="0.25">
      <c r="B54" s="125" t="s">
        <v>195</v>
      </c>
      <c r="C54" s="134">
        <v>3.7</v>
      </c>
      <c r="D54" s="134">
        <v>4.0999999999999996</v>
      </c>
      <c r="E54" s="134">
        <v>5</v>
      </c>
      <c r="F54" s="134">
        <v>5.8</v>
      </c>
      <c r="G54" s="134">
        <v>6.9</v>
      </c>
      <c r="H54" s="134">
        <v>7.8</v>
      </c>
      <c r="I54" s="134">
        <v>8.8000000000000007</v>
      </c>
      <c r="J54" s="138">
        <v>300</v>
      </c>
    </row>
    <row r="55" spans="2:10" x14ac:dyDescent="0.25">
      <c r="B55" s="126" t="s">
        <v>194</v>
      </c>
      <c r="C55" s="133">
        <v>3.1</v>
      </c>
      <c r="D55" s="133">
        <v>3.6</v>
      </c>
      <c r="E55" s="133">
        <v>4.5</v>
      </c>
      <c r="F55" s="133">
        <v>5.3</v>
      </c>
      <c r="G55" s="133">
        <v>6.4</v>
      </c>
      <c r="H55" s="133">
        <v>7.3</v>
      </c>
      <c r="I55" s="133">
        <v>8.3000000000000007</v>
      </c>
      <c r="J55" s="137">
        <v>275</v>
      </c>
    </row>
    <row r="56" spans="2:10" x14ac:dyDescent="0.25">
      <c r="B56" s="125" t="s">
        <v>193</v>
      </c>
      <c r="C56" s="134">
        <v>3.4</v>
      </c>
      <c r="D56" s="134">
        <v>3.6</v>
      </c>
      <c r="E56" s="134">
        <v>4.5</v>
      </c>
      <c r="F56" s="134">
        <v>5.2</v>
      </c>
      <c r="G56" s="134">
        <v>6.3</v>
      </c>
      <c r="H56" s="134">
        <v>7.2</v>
      </c>
      <c r="I56" s="134">
        <v>8.1999999999999993</v>
      </c>
      <c r="J56" s="138">
        <v>250</v>
      </c>
    </row>
    <row r="57" spans="2:10" x14ac:dyDescent="0.25">
      <c r="B57" s="126" t="s">
        <v>192</v>
      </c>
      <c r="C57" s="133">
        <v>3.4</v>
      </c>
      <c r="D57" s="133">
        <v>4.5</v>
      </c>
      <c r="E57" s="133">
        <v>5.5</v>
      </c>
      <c r="F57" s="133">
        <v>6.3</v>
      </c>
      <c r="G57" s="133">
        <v>7.5</v>
      </c>
      <c r="H57" s="133">
        <v>8.5</v>
      </c>
      <c r="I57" s="133">
        <v>9.5</v>
      </c>
      <c r="J57" s="137">
        <v>300</v>
      </c>
    </row>
    <row r="58" spans="2:10" x14ac:dyDescent="0.25">
      <c r="B58" s="125" t="s">
        <v>191</v>
      </c>
      <c r="C58" s="134">
        <v>3.1</v>
      </c>
      <c r="D58" s="134">
        <v>3.8</v>
      </c>
      <c r="E58" s="134">
        <v>4.8</v>
      </c>
      <c r="F58" s="134">
        <v>5.5</v>
      </c>
      <c r="G58" s="134">
        <v>6.6</v>
      </c>
      <c r="H58" s="134">
        <v>7.4</v>
      </c>
      <c r="I58" s="134">
        <v>8.3000000000000007</v>
      </c>
      <c r="J58" s="138">
        <v>275</v>
      </c>
    </row>
    <row r="59" spans="2:10" x14ac:dyDescent="0.25">
      <c r="B59" s="126" t="s">
        <v>190</v>
      </c>
      <c r="C59" s="133">
        <v>3.1</v>
      </c>
      <c r="D59" s="133">
        <v>3.6</v>
      </c>
      <c r="E59" s="133">
        <v>4.5</v>
      </c>
      <c r="F59" s="133">
        <v>5.5</v>
      </c>
      <c r="G59" s="133">
        <v>6.4</v>
      </c>
      <c r="H59" s="133">
        <v>7.8</v>
      </c>
      <c r="I59" s="133">
        <v>9.3000000000000007</v>
      </c>
      <c r="J59" s="137">
        <v>275</v>
      </c>
    </row>
    <row r="60" spans="2:10" x14ac:dyDescent="0.25">
      <c r="B60" s="125" t="s">
        <v>189</v>
      </c>
      <c r="C60" s="134">
        <v>3.1</v>
      </c>
      <c r="D60" s="134">
        <v>3.7</v>
      </c>
      <c r="E60" s="134">
        <v>4.5999999999999996</v>
      </c>
      <c r="F60" s="134">
        <v>5.4</v>
      </c>
      <c r="G60" s="134">
        <v>6.7</v>
      </c>
      <c r="H60" s="134">
        <v>7.9</v>
      </c>
      <c r="I60" s="134">
        <v>9.4</v>
      </c>
      <c r="J60" s="138">
        <v>275</v>
      </c>
    </row>
    <row r="61" spans="2:10" x14ac:dyDescent="0.25">
      <c r="B61" s="126" t="s">
        <v>167</v>
      </c>
      <c r="C61" s="133">
        <v>3.2</v>
      </c>
      <c r="D61" s="133">
        <v>3.6</v>
      </c>
      <c r="E61" s="133">
        <v>4.5999999999999996</v>
      </c>
      <c r="F61" s="133">
        <v>5.5</v>
      </c>
      <c r="G61" s="133">
        <v>6.9</v>
      </c>
      <c r="H61" s="133">
        <v>8.1</v>
      </c>
      <c r="I61" s="133">
        <v>9.5</v>
      </c>
      <c r="J61" s="137">
        <v>275</v>
      </c>
    </row>
    <row r="62" spans="2:10" x14ac:dyDescent="0.25">
      <c r="B62" s="125" t="s">
        <v>168</v>
      </c>
      <c r="C62" s="134">
        <v>3</v>
      </c>
      <c r="D62" s="134">
        <v>3.6</v>
      </c>
      <c r="E62" s="134">
        <v>4.5</v>
      </c>
      <c r="F62" s="134">
        <v>5.2</v>
      </c>
      <c r="G62" s="134">
        <v>6.5</v>
      </c>
      <c r="H62" s="134">
        <v>7.7</v>
      </c>
      <c r="I62" s="134">
        <v>9.1</v>
      </c>
      <c r="J62" s="138">
        <v>250</v>
      </c>
    </row>
    <row r="63" spans="2:10" x14ac:dyDescent="0.25">
      <c r="B63" s="126" t="s">
        <v>188</v>
      </c>
      <c r="C63" s="133">
        <v>3.4</v>
      </c>
      <c r="D63" s="133">
        <v>4.0999999999999996</v>
      </c>
      <c r="E63" s="133">
        <v>5.3</v>
      </c>
      <c r="F63" s="133">
        <v>6.2</v>
      </c>
      <c r="G63" s="133">
        <v>7.6</v>
      </c>
      <c r="H63" s="133">
        <v>8.6999999999999993</v>
      </c>
      <c r="I63" s="133">
        <v>9.9</v>
      </c>
      <c r="J63" s="137">
        <v>325</v>
      </c>
    </row>
    <row r="64" spans="2:10" ht="13.8" thickBot="1" x14ac:dyDescent="0.3">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3.2" x14ac:dyDescent="0.25"/>
  <cols>
    <col min="1" max="1" width="49.44140625" bestFit="1" customWidth="1"/>
    <col min="2" max="2" width="122.6640625" bestFit="1" customWidth="1"/>
  </cols>
  <sheetData>
    <row r="3" spans="1:6" x14ac:dyDescent="0.25">
      <c r="C3" s="207" t="s">
        <v>227</v>
      </c>
      <c r="D3" s="207"/>
      <c r="E3" s="207"/>
      <c r="F3" s="207"/>
    </row>
    <row r="4" spans="1:6" x14ac:dyDescent="0.25">
      <c r="C4" s="37" t="s">
        <v>223</v>
      </c>
      <c r="D4" s="37" t="s">
        <v>224</v>
      </c>
      <c r="E4" s="37" t="s">
        <v>225</v>
      </c>
      <c r="F4" s="37" t="s">
        <v>226</v>
      </c>
    </row>
    <row r="5" spans="1:6" x14ac:dyDescent="0.25">
      <c r="A5" s="145" t="s">
        <v>228</v>
      </c>
      <c r="B5" t="s">
        <v>6</v>
      </c>
    </row>
    <row r="6" spans="1:6" x14ac:dyDescent="0.25">
      <c r="A6" t="s">
        <v>229</v>
      </c>
      <c r="B6" t="s">
        <v>262</v>
      </c>
      <c r="C6" s="37">
        <v>68</v>
      </c>
      <c r="D6" s="37">
        <v>79</v>
      </c>
      <c r="E6" s="37">
        <v>86</v>
      </c>
      <c r="F6" s="37">
        <v>89</v>
      </c>
    </row>
    <row r="7" spans="1:6" x14ac:dyDescent="0.25">
      <c r="A7" t="s">
        <v>230</v>
      </c>
      <c r="B7" t="s">
        <v>232</v>
      </c>
      <c r="C7" s="37">
        <v>49</v>
      </c>
      <c r="D7" s="37">
        <v>69</v>
      </c>
      <c r="E7" s="37">
        <v>79</v>
      </c>
      <c r="F7" s="37">
        <v>84</v>
      </c>
    </row>
    <row r="8" spans="1:6" x14ac:dyDescent="0.25">
      <c r="A8" t="s">
        <v>231</v>
      </c>
      <c r="B8" t="s">
        <v>233</v>
      </c>
      <c r="C8" s="37">
        <v>39</v>
      </c>
      <c r="D8" s="37">
        <v>61</v>
      </c>
      <c r="E8" s="37">
        <v>74</v>
      </c>
      <c r="F8" s="37">
        <v>80</v>
      </c>
    </row>
    <row r="9" spans="1:6" x14ac:dyDescent="0.25">
      <c r="A9" s="145" t="s">
        <v>234</v>
      </c>
    </row>
    <row r="10" spans="1:6" x14ac:dyDescent="0.25">
      <c r="A10" t="s">
        <v>263</v>
      </c>
      <c r="B10" s="3" t="s">
        <v>363</v>
      </c>
      <c r="C10" s="37">
        <v>98</v>
      </c>
      <c r="D10" s="37">
        <v>98</v>
      </c>
      <c r="E10" s="37">
        <v>98</v>
      </c>
      <c r="F10" s="37">
        <v>98</v>
      </c>
    </row>
    <row r="11" spans="1:6" x14ac:dyDescent="0.25">
      <c r="A11" t="s">
        <v>235</v>
      </c>
      <c r="B11" s="3" t="s">
        <v>364</v>
      </c>
      <c r="C11" s="37">
        <v>83</v>
      </c>
      <c r="D11" s="37">
        <v>89</v>
      </c>
      <c r="E11" s="37">
        <v>92</v>
      </c>
      <c r="F11" s="37">
        <v>93</v>
      </c>
    </row>
    <row r="12" spans="1:6" x14ac:dyDescent="0.25">
      <c r="A12" t="s">
        <v>236</v>
      </c>
      <c r="B12" s="3" t="s">
        <v>365</v>
      </c>
      <c r="C12" s="37">
        <v>76</v>
      </c>
      <c r="D12" s="37">
        <v>85</v>
      </c>
      <c r="E12" s="37">
        <v>89</v>
      </c>
      <c r="F12" s="37">
        <v>91</v>
      </c>
    </row>
    <row r="13" spans="1:6" x14ac:dyDescent="0.25">
      <c r="A13" t="s">
        <v>237</v>
      </c>
      <c r="B13" s="3" t="s">
        <v>365</v>
      </c>
      <c r="C13" s="37">
        <v>72</v>
      </c>
      <c r="D13" s="37">
        <v>82</v>
      </c>
      <c r="E13" s="37">
        <v>87</v>
      </c>
      <c r="F13" s="37">
        <v>89</v>
      </c>
    </row>
    <row r="14" spans="1:6" x14ac:dyDescent="0.25">
      <c r="A14" s="145" t="s">
        <v>238</v>
      </c>
    </row>
    <row r="15" spans="1:6" x14ac:dyDescent="0.25">
      <c r="A15" t="s">
        <v>239</v>
      </c>
      <c r="B15" t="s">
        <v>264</v>
      </c>
      <c r="C15" s="37">
        <v>63</v>
      </c>
      <c r="D15" s="37">
        <v>77</v>
      </c>
      <c r="E15" s="37">
        <v>85</v>
      </c>
      <c r="F15" s="37">
        <v>88</v>
      </c>
    </row>
    <row r="16" spans="1:6" ht="12.75" customHeight="1" x14ac:dyDescent="0.25">
      <c r="A16" t="s">
        <v>240</v>
      </c>
      <c r="B16" s="144" t="s">
        <v>265</v>
      </c>
      <c r="C16" s="37">
        <v>96</v>
      </c>
      <c r="D16" s="37">
        <v>96</v>
      </c>
      <c r="E16" s="37">
        <v>96</v>
      </c>
      <c r="F16" s="37">
        <v>96</v>
      </c>
    </row>
    <row r="17" spans="1:6" x14ac:dyDescent="0.25">
      <c r="A17" s="145" t="s">
        <v>241</v>
      </c>
    </row>
    <row r="18" spans="1:6" x14ac:dyDescent="0.25">
      <c r="A18" t="s">
        <v>242</v>
      </c>
      <c r="B18" t="s">
        <v>243</v>
      </c>
      <c r="C18" s="37">
        <v>89</v>
      </c>
      <c r="D18" s="37">
        <v>92</v>
      </c>
      <c r="E18" s="37">
        <v>94</v>
      </c>
      <c r="F18" s="37">
        <v>95</v>
      </c>
    </row>
    <row r="19" spans="1:6" x14ac:dyDescent="0.25">
      <c r="A19" t="s">
        <v>244</v>
      </c>
      <c r="B19" t="s">
        <v>245</v>
      </c>
      <c r="C19" s="37">
        <v>81</v>
      </c>
      <c r="D19" s="37">
        <v>88</v>
      </c>
      <c r="E19" s="37">
        <v>91</v>
      </c>
      <c r="F19" s="37">
        <v>93</v>
      </c>
    </row>
    <row r="20" spans="1:6" x14ac:dyDescent="0.25">
      <c r="A20" s="145" t="s">
        <v>246</v>
      </c>
    </row>
    <row r="21" spans="1:6" x14ac:dyDescent="0.25">
      <c r="A21" t="s">
        <v>247</v>
      </c>
      <c r="B21" t="s">
        <v>248</v>
      </c>
      <c r="C21" s="37">
        <v>77</v>
      </c>
      <c r="D21" s="37">
        <v>85</v>
      </c>
      <c r="E21" s="37">
        <v>90</v>
      </c>
      <c r="F21" s="37">
        <v>92</v>
      </c>
    </row>
    <row r="22" spans="1:6" x14ac:dyDescent="0.25">
      <c r="A22" t="s">
        <v>249</v>
      </c>
      <c r="B22" t="s">
        <v>250</v>
      </c>
      <c r="C22" s="37">
        <v>61</v>
      </c>
      <c r="D22" s="37">
        <v>75</v>
      </c>
      <c r="E22" s="37">
        <v>83</v>
      </c>
      <c r="F22" s="37">
        <v>87</v>
      </c>
    </row>
    <row r="23" spans="1:6" x14ac:dyDescent="0.25">
      <c r="A23" t="s">
        <v>251</v>
      </c>
      <c r="B23" t="s">
        <v>252</v>
      </c>
      <c r="C23" s="37">
        <v>57</v>
      </c>
      <c r="D23" s="37">
        <v>72</v>
      </c>
      <c r="E23" s="37">
        <v>81</v>
      </c>
      <c r="F23" s="37">
        <v>86</v>
      </c>
    </row>
    <row r="24" spans="1:6" x14ac:dyDescent="0.25">
      <c r="A24" t="s">
        <v>253</v>
      </c>
      <c r="B24" t="s">
        <v>254</v>
      </c>
      <c r="C24" s="37">
        <v>54</v>
      </c>
      <c r="D24" s="37">
        <v>70</v>
      </c>
      <c r="E24" s="37">
        <v>80</v>
      </c>
      <c r="F24" s="37">
        <v>85</v>
      </c>
    </row>
    <row r="25" spans="1:6" x14ac:dyDescent="0.25">
      <c r="A25" t="s">
        <v>255</v>
      </c>
      <c r="B25" t="s">
        <v>256</v>
      </c>
      <c r="C25" s="37">
        <v>51</v>
      </c>
      <c r="D25" s="37">
        <v>68</v>
      </c>
      <c r="E25" s="37">
        <v>79</v>
      </c>
      <c r="F25" s="37">
        <v>84</v>
      </c>
    </row>
    <row r="26" spans="1:6" x14ac:dyDescent="0.25">
      <c r="A26" t="s">
        <v>257</v>
      </c>
      <c r="B26" t="s">
        <v>258</v>
      </c>
      <c r="C26" s="37">
        <v>46</v>
      </c>
      <c r="D26" s="37">
        <v>65</v>
      </c>
      <c r="E26" s="37">
        <v>77</v>
      </c>
      <c r="F26" s="37">
        <v>82</v>
      </c>
    </row>
    <row r="27" spans="1:6" x14ac:dyDescent="0.25">
      <c r="A27" s="145" t="s">
        <v>259</v>
      </c>
    </row>
    <row r="28" spans="1:6" x14ac:dyDescent="0.25">
      <c r="A28" t="s">
        <v>260</v>
      </c>
      <c r="B28" t="s">
        <v>261</v>
      </c>
      <c r="C28" s="37">
        <v>77</v>
      </c>
      <c r="D28" s="37">
        <v>86</v>
      </c>
      <c r="E28" s="37">
        <v>91</v>
      </c>
      <c r="F28" s="37">
        <v>94</v>
      </c>
    </row>
    <row r="29" spans="1:6" x14ac:dyDescent="0.25">
      <c r="A29" s="145" t="s">
        <v>300</v>
      </c>
    </row>
    <row r="30" spans="1:6" x14ac:dyDescent="0.25">
      <c r="A30" s="3" t="s">
        <v>311</v>
      </c>
      <c r="B30" s="3" t="s">
        <v>301</v>
      </c>
      <c r="C30" s="37">
        <v>68</v>
      </c>
      <c r="D30" s="4">
        <v>79</v>
      </c>
      <c r="E30" s="37">
        <v>86</v>
      </c>
      <c r="F30" s="37">
        <v>89</v>
      </c>
    </row>
    <row r="31" spans="1:6" x14ac:dyDescent="0.25">
      <c r="A31" s="3" t="s">
        <v>310</v>
      </c>
      <c r="B31" s="3" t="s">
        <v>302</v>
      </c>
      <c r="C31" s="37">
        <v>49</v>
      </c>
      <c r="D31" s="37">
        <v>69</v>
      </c>
      <c r="E31" s="37">
        <v>79</v>
      </c>
      <c r="F31" s="37">
        <v>84</v>
      </c>
    </row>
    <row r="32" spans="1:6" x14ac:dyDescent="0.25">
      <c r="A32" s="3" t="s">
        <v>309</v>
      </c>
      <c r="B32" s="3" t="s">
        <v>303</v>
      </c>
      <c r="C32" s="37">
        <v>39</v>
      </c>
      <c r="D32" s="37">
        <v>61</v>
      </c>
      <c r="E32" s="37">
        <v>74</v>
      </c>
      <c r="F32" s="37">
        <v>80</v>
      </c>
    </row>
    <row r="33" spans="1:9" x14ac:dyDescent="0.25">
      <c r="A33" s="3" t="s">
        <v>304</v>
      </c>
      <c r="B33" s="3" t="s">
        <v>305</v>
      </c>
      <c r="C33" s="37">
        <v>30</v>
      </c>
      <c r="D33" s="37">
        <v>58</v>
      </c>
      <c r="E33" s="37">
        <v>71</v>
      </c>
      <c r="F33" s="37">
        <v>78</v>
      </c>
    </row>
    <row r="34" spans="1:9" x14ac:dyDescent="0.25">
      <c r="A34" s="3" t="s">
        <v>306</v>
      </c>
      <c r="B34" s="3" t="s">
        <v>315</v>
      </c>
      <c r="C34" s="37">
        <v>48</v>
      </c>
      <c r="D34" s="37">
        <v>67</v>
      </c>
      <c r="E34" s="37">
        <v>77</v>
      </c>
      <c r="F34" s="37">
        <v>83</v>
      </c>
    </row>
    <row r="35" spans="1:9" x14ac:dyDescent="0.25">
      <c r="A35" s="3" t="s">
        <v>307</v>
      </c>
      <c r="B35" s="3" t="s">
        <v>316</v>
      </c>
      <c r="C35" s="37">
        <v>35</v>
      </c>
      <c r="D35" s="37">
        <v>56</v>
      </c>
      <c r="E35" s="37">
        <v>70</v>
      </c>
      <c r="F35" s="37">
        <v>77</v>
      </c>
    </row>
    <row r="36" spans="1:9" x14ac:dyDescent="0.25">
      <c r="A36" s="3" t="s">
        <v>308</v>
      </c>
      <c r="B36" s="3" t="s">
        <v>317</v>
      </c>
      <c r="C36" s="37">
        <v>30</v>
      </c>
      <c r="D36" s="37">
        <v>48</v>
      </c>
      <c r="E36" s="37">
        <v>65</v>
      </c>
      <c r="F36" s="37">
        <v>73</v>
      </c>
    </row>
    <row r="37" spans="1:9" x14ac:dyDescent="0.25">
      <c r="A37" s="3" t="s">
        <v>318</v>
      </c>
      <c r="B37" s="3" t="s">
        <v>321</v>
      </c>
      <c r="C37" s="37">
        <v>57</v>
      </c>
      <c r="D37" s="37">
        <v>73</v>
      </c>
      <c r="E37" s="37">
        <v>82</v>
      </c>
      <c r="F37" s="37">
        <v>86</v>
      </c>
    </row>
    <row r="38" spans="1:9" x14ac:dyDescent="0.25">
      <c r="A38" s="3" t="s">
        <v>319</v>
      </c>
      <c r="B38" s="3" t="s">
        <v>321</v>
      </c>
      <c r="C38" s="37">
        <v>43</v>
      </c>
      <c r="D38" s="37">
        <v>65</v>
      </c>
      <c r="E38" s="37">
        <v>76</v>
      </c>
      <c r="F38" s="37">
        <v>82</v>
      </c>
    </row>
    <row r="39" spans="1:9" x14ac:dyDescent="0.25">
      <c r="A39" s="3" t="s">
        <v>320</v>
      </c>
      <c r="B39" s="3" t="s">
        <v>321</v>
      </c>
      <c r="C39" s="37">
        <v>32</v>
      </c>
      <c r="D39" s="37">
        <v>58</v>
      </c>
      <c r="E39" s="37">
        <v>72</v>
      </c>
      <c r="F39" s="37">
        <v>79</v>
      </c>
    </row>
    <row r="40" spans="1:9" x14ac:dyDescent="0.25">
      <c r="A40" s="3" t="s">
        <v>312</v>
      </c>
      <c r="B40" s="3" t="s">
        <v>324</v>
      </c>
      <c r="C40" s="37">
        <v>45</v>
      </c>
      <c r="D40" s="37">
        <v>66</v>
      </c>
      <c r="E40" s="37">
        <v>77</v>
      </c>
      <c r="F40" s="37">
        <v>83</v>
      </c>
    </row>
    <row r="41" spans="1:9" x14ac:dyDescent="0.25">
      <c r="A41" s="3" t="s">
        <v>313</v>
      </c>
      <c r="B41" s="3" t="s">
        <v>322</v>
      </c>
      <c r="C41" s="37">
        <v>36</v>
      </c>
      <c r="D41" s="37">
        <v>60</v>
      </c>
      <c r="E41" s="37">
        <v>73</v>
      </c>
      <c r="F41" s="37">
        <v>79</v>
      </c>
    </row>
    <row r="42" spans="1:9" x14ac:dyDescent="0.25">
      <c r="A42" s="3" t="s">
        <v>314</v>
      </c>
      <c r="B42" s="3" t="s">
        <v>323</v>
      </c>
      <c r="C42" s="37">
        <v>30</v>
      </c>
      <c r="D42" s="37">
        <v>55</v>
      </c>
      <c r="E42" s="37">
        <v>70</v>
      </c>
      <c r="F42" s="37">
        <v>77</v>
      </c>
    </row>
    <row r="43" spans="1:9" x14ac:dyDescent="0.25">
      <c r="A43" s="3" t="s">
        <v>325</v>
      </c>
      <c r="B43" s="3" t="s">
        <v>326</v>
      </c>
      <c r="C43" s="37">
        <v>59</v>
      </c>
      <c r="D43" s="37">
        <v>74</v>
      </c>
      <c r="E43" s="37">
        <v>82</v>
      </c>
      <c r="F43" s="37">
        <v>86</v>
      </c>
    </row>
    <row r="44" spans="1:9" x14ac:dyDescent="0.25">
      <c r="A44" s="145" t="s">
        <v>266</v>
      </c>
    </row>
    <row r="45" spans="1:9" x14ac:dyDescent="0.25">
      <c r="A45" t="s">
        <v>267</v>
      </c>
      <c r="B45" s="3" t="s">
        <v>366</v>
      </c>
      <c r="C45" s="37">
        <v>77</v>
      </c>
      <c r="D45" s="37">
        <v>86</v>
      </c>
      <c r="E45" s="37">
        <v>91</v>
      </c>
      <c r="F45" s="37">
        <v>94</v>
      </c>
    </row>
    <row r="46" spans="1:9" x14ac:dyDescent="0.25">
      <c r="A46" s="3" t="s">
        <v>289</v>
      </c>
      <c r="B46" s="3" t="s">
        <v>332</v>
      </c>
      <c r="C46" s="37">
        <v>76</v>
      </c>
      <c r="D46" s="37">
        <v>85</v>
      </c>
      <c r="E46" s="37">
        <v>90</v>
      </c>
      <c r="F46" s="37">
        <v>93</v>
      </c>
    </row>
    <row r="47" spans="1:9" x14ac:dyDescent="0.25">
      <c r="A47" s="3" t="s">
        <v>288</v>
      </c>
      <c r="B47" s="3" t="s">
        <v>331</v>
      </c>
      <c r="C47" s="37">
        <v>74</v>
      </c>
      <c r="D47" s="37">
        <v>83</v>
      </c>
      <c r="E47" s="37">
        <v>88</v>
      </c>
      <c r="F47" s="37">
        <v>90</v>
      </c>
    </row>
    <row r="48" spans="1:9" x14ac:dyDescent="0.25">
      <c r="A48" s="3" t="s">
        <v>287</v>
      </c>
      <c r="B48" s="3" t="s">
        <v>332</v>
      </c>
      <c r="C48" s="37">
        <v>72</v>
      </c>
      <c r="D48" s="37">
        <v>81</v>
      </c>
      <c r="E48" s="37">
        <v>88</v>
      </c>
      <c r="F48" s="4">
        <v>91</v>
      </c>
      <c r="G48" s="37"/>
      <c r="H48" s="37"/>
      <c r="I48" s="37"/>
    </row>
    <row r="49" spans="1:6" x14ac:dyDescent="0.25">
      <c r="A49" s="3" t="s">
        <v>286</v>
      </c>
      <c r="B49" s="3" t="s">
        <v>331</v>
      </c>
      <c r="C49" s="37">
        <v>67</v>
      </c>
      <c r="D49" s="37">
        <v>78</v>
      </c>
      <c r="E49" s="37">
        <v>85</v>
      </c>
      <c r="F49" s="4">
        <v>89</v>
      </c>
    </row>
    <row r="50" spans="1:6" x14ac:dyDescent="0.25">
      <c r="A50" s="3" t="s">
        <v>268</v>
      </c>
      <c r="B50" s="3" t="s">
        <v>332</v>
      </c>
      <c r="C50" s="37">
        <v>71</v>
      </c>
      <c r="D50" s="37">
        <v>80</v>
      </c>
      <c r="E50" s="37">
        <v>87</v>
      </c>
      <c r="F50" s="4">
        <v>90</v>
      </c>
    </row>
    <row r="51" spans="1:6" x14ac:dyDescent="0.25">
      <c r="A51" s="3" t="s">
        <v>269</v>
      </c>
      <c r="B51" s="3" t="s">
        <v>331</v>
      </c>
      <c r="C51" s="37">
        <v>64</v>
      </c>
      <c r="D51" s="37">
        <v>75</v>
      </c>
      <c r="E51" s="37">
        <v>82</v>
      </c>
      <c r="F51" s="4">
        <v>85</v>
      </c>
    </row>
    <row r="52" spans="1:6" x14ac:dyDescent="0.25">
      <c r="A52" s="3" t="s">
        <v>290</v>
      </c>
      <c r="B52" s="3" t="s">
        <v>332</v>
      </c>
      <c r="C52" s="37">
        <v>70</v>
      </c>
      <c r="D52" s="37">
        <v>79</v>
      </c>
      <c r="E52" s="37">
        <v>84</v>
      </c>
      <c r="F52" s="4">
        <v>88</v>
      </c>
    </row>
    <row r="53" spans="1:6" x14ac:dyDescent="0.25">
      <c r="A53" s="3" t="s">
        <v>291</v>
      </c>
      <c r="B53" s="3" t="s">
        <v>331</v>
      </c>
      <c r="C53" s="37">
        <v>65</v>
      </c>
      <c r="D53" s="37">
        <v>75</v>
      </c>
      <c r="E53" s="37">
        <v>82</v>
      </c>
      <c r="F53" s="4">
        <v>86</v>
      </c>
    </row>
    <row r="54" spans="1:6" x14ac:dyDescent="0.25">
      <c r="A54" s="3" t="s">
        <v>285</v>
      </c>
      <c r="B54" s="3" t="s">
        <v>332</v>
      </c>
      <c r="C54" s="37">
        <v>69</v>
      </c>
      <c r="D54" s="37">
        <v>78</v>
      </c>
      <c r="E54" s="37">
        <v>83</v>
      </c>
      <c r="F54" s="4">
        <v>87</v>
      </c>
    </row>
    <row r="55" spans="1:6" x14ac:dyDescent="0.25">
      <c r="A55" s="3" t="s">
        <v>284</v>
      </c>
      <c r="B55" s="3" t="s">
        <v>331</v>
      </c>
      <c r="C55" s="37">
        <v>64</v>
      </c>
      <c r="D55" s="37">
        <v>74</v>
      </c>
      <c r="E55" s="37">
        <v>81</v>
      </c>
      <c r="F55" s="4">
        <v>85</v>
      </c>
    </row>
    <row r="56" spans="1:6" x14ac:dyDescent="0.25">
      <c r="A56" s="3" t="s">
        <v>283</v>
      </c>
      <c r="B56" s="3" t="s">
        <v>332</v>
      </c>
      <c r="C56" s="37">
        <v>66</v>
      </c>
      <c r="D56" s="37">
        <v>74</v>
      </c>
      <c r="E56" s="37">
        <v>80</v>
      </c>
      <c r="F56" s="4">
        <v>82</v>
      </c>
    </row>
    <row r="57" spans="1:6" x14ac:dyDescent="0.25">
      <c r="A57" s="3" t="s">
        <v>282</v>
      </c>
      <c r="B57" s="3" t="s">
        <v>331</v>
      </c>
      <c r="C57" s="37">
        <v>62</v>
      </c>
      <c r="D57" s="37">
        <v>71</v>
      </c>
      <c r="E57" s="37">
        <v>78</v>
      </c>
      <c r="F57" s="4">
        <v>81</v>
      </c>
    </row>
    <row r="58" spans="1:6" x14ac:dyDescent="0.25">
      <c r="A58" s="3" t="s">
        <v>281</v>
      </c>
      <c r="B58" s="3" t="s">
        <v>332</v>
      </c>
      <c r="C58" s="37">
        <v>65</v>
      </c>
      <c r="D58" s="37">
        <v>73</v>
      </c>
      <c r="E58" s="37">
        <v>79</v>
      </c>
      <c r="F58" s="4">
        <v>81</v>
      </c>
    </row>
    <row r="59" spans="1:6" x14ac:dyDescent="0.25">
      <c r="A59" s="3" t="s">
        <v>280</v>
      </c>
      <c r="B59" s="3" t="s">
        <v>331</v>
      </c>
      <c r="C59" s="37">
        <v>61</v>
      </c>
      <c r="D59" s="37">
        <v>70</v>
      </c>
      <c r="E59" s="37">
        <v>77</v>
      </c>
      <c r="F59" s="4">
        <v>80</v>
      </c>
    </row>
    <row r="60" spans="1:6" x14ac:dyDescent="0.25">
      <c r="A60" s="3" t="s">
        <v>279</v>
      </c>
      <c r="B60" s="3" t="s">
        <v>332</v>
      </c>
      <c r="C60" s="37">
        <v>65</v>
      </c>
      <c r="D60" s="37">
        <v>76</v>
      </c>
      <c r="E60" s="37">
        <v>84</v>
      </c>
      <c r="F60" s="4">
        <v>88</v>
      </c>
    </row>
    <row r="61" spans="1:6" x14ac:dyDescent="0.25">
      <c r="A61" s="3" t="s">
        <v>278</v>
      </c>
      <c r="B61" s="3" t="s">
        <v>331</v>
      </c>
      <c r="C61" s="37">
        <v>63</v>
      </c>
      <c r="D61" s="37">
        <v>75</v>
      </c>
      <c r="E61" s="37">
        <v>83</v>
      </c>
      <c r="F61" s="4">
        <v>87</v>
      </c>
    </row>
    <row r="62" spans="1:6" x14ac:dyDescent="0.25">
      <c r="A62" s="3" t="s">
        <v>277</v>
      </c>
      <c r="B62" s="3" t="s">
        <v>332</v>
      </c>
      <c r="C62" s="37">
        <v>64</v>
      </c>
      <c r="D62" s="37">
        <v>75</v>
      </c>
      <c r="E62" s="37">
        <v>83</v>
      </c>
      <c r="F62" s="4">
        <v>86</v>
      </c>
    </row>
    <row r="63" spans="1:6" x14ac:dyDescent="0.25">
      <c r="A63" s="3" t="s">
        <v>276</v>
      </c>
      <c r="B63" s="3" t="s">
        <v>331</v>
      </c>
      <c r="C63" s="37">
        <v>60</v>
      </c>
      <c r="D63" s="37">
        <v>72</v>
      </c>
      <c r="E63" s="37">
        <v>80</v>
      </c>
      <c r="F63" s="4">
        <v>84</v>
      </c>
    </row>
    <row r="64" spans="1:6" x14ac:dyDescent="0.25">
      <c r="A64" s="3" t="s">
        <v>275</v>
      </c>
      <c r="B64" s="3" t="s">
        <v>332</v>
      </c>
      <c r="C64" s="37">
        <v>63</v>
      </c>
      <c r="D64" s="37">
        <v>74</v>
      </c>
      <c r="E64" s="37">
        <v>82</v>
      </c>
      <c r="F64" s="4">
        <v>85</v>
      </c>
    </row>
    <row r="65" spans="1:6" x14ac:dyDescent="0.25">
      <c r="A65" s="3" t="s">
        <v>274</v>
      </c>
      <c r="B65" s="3" t="s">
        <v>331</v>
      </c>
      <c r="C65" s="37">
        <v>61</v>
      </c>
      <c r="D65" s="37">
        <v>73</v>
      </c>
      <c r="E65" s="37">
        <v>81</v>
      </c>
      <c r="F65" s="4">
        <v>84</v>
      </c>
    </row>
    <row r="66" spans="1:6" x14ac:dyDescent="0.25">
      <c r="A66" s="3" t="s">
        <v>270</v>
      </c>
      <c r="B66" s="3" t="s">
        <v>332</v>
      </c>
      <c r="C66" s="37">
        <v>62</v>
      </c>
      <c r="D66" s="37">
        <v>73</v>
      </c>
      <c r="E66" s="37">
        <v>81</v>
      </c>
      <c r="F66" s="4">
        <v>84</v>
      </c>
    </row>
    <row r="67" spans="1:6" x14ac:dyDescent="0.25">
      <c r="A67" s="3" t="s">
        <v>271</v>
      </c>
      <c r="B67" s="3" t="s">
        <v>331</v>
      </c>
      <c r="C67" s="37">
        <v>60</v>
      </c>
      <c r="D67" s="37">
        <v>72</v>
      </c>
      <c r="E67" s="37">
        <v>80</v>
      </c>
      <c r="F67" s="4">
        <v>83</v>
      </c>
    </row>
    <row r="68" spans="1:6" x14ac:dyDescent="0.25">
      <c r="A68" s="3" t="s">
        <v>272</v>
      </c>
      <c r="B68" s="3" t="s">
        <v>332</v>
      </c>
      <c r="C68" s="37">
        <v>61</v>
      </c>
      <c r="D68" s="37">
        <v>72</v>
      </c>
      <c r="E68" s="37">
        <v>79</v>
      </c>
      <c r="F68" s="4">
        <v>82</v>
      </c>
    </row>
    <row r="69" spans="1:6" x14ac:dyDescent="0.25">
      <c r="A69" s="3" t="s">
        <v>273</v>
      </c>
      <c r="B69" s="3" t="s">
        <v>331</v>
      </c>
      <c r="C69" s="37">
        <v>59</v>
      </c>
      <c r="D69" s="37">
        <v>70</v>
      </c>
      <c r="E69" s="37">
        <v>78</v>
      </c>
      <c r="F69" s="4">
        <v>81</v>
      </c>
    </row>
    <row r="70" spans="1:6" x14ac:dyDescent="0.25">
      <c r="A70" s="3" t="s">
        <v>292</v>
      </c>
      <c r="B70" s="3" t="s">
        <v>332</v>
      </c>
      <c r="C70" s="37">
        <v>60</v>
      </c>
      <c r="D70" s="37">
        <v>71</v>
      </c>
      <c r="E70" s="37">
        <v>78</v>
      </c>
      <c r="F70" s="4">
        <v>81</v>
      </c>
    </row>
    <row r="71" spans="1:6" x14ac:dyDescent="0.25">
      <c r="A71" s="3" t="s">
        <v>293</v>
      </c>
      <c r="B71" s="3" t="s">
        <v>331</v>
      </c>
      <c r="C71" s="37">
        <v>58</v>
      </c>
      <c r="D71" s="37">
        <v>69</v>
      </c>
      <c r="E71" s="37">
        <v>77</v>
      </c>
      <c r="F71" s="4">
        <v>80</v>
      </c>
    </row>
    <row r="72" spans="1:6" x14ac:dyDescent="0.25">
      <c r="A72" s="3" t="s">
        <v>294</v>
      </c>
      <c r="B72" s="3" t="s">
        <v>332</v>
      </c>
      <c r="C72" s="37">
        <v>66</v>
      </c>
      <c r="D72" s="37">
        <v>77</v>
      </c>
      <c r="E72" s="37">
        <v>85</v>
      </c>
      <c r="F72" s="4">
        <v>89</v>
      </c>
    </row>
    <row r="73" spans="1:6" x14ac:dyDescent="0.25">
      <c r="A73" s="3" t="s">
        <v>295</v>
      </c>
      <c r="B73" s="3" t="s">
        <v>331</v>
      </c>
      <c r="C73" s="37">
        <v>58</v>
      </c>
      <c r="D73" s="37">
        <v>72</v>
      </c>
      <c r="E73" s="37">
        <v>81</v>
      </c>
      <c r="F73" s="4">
        <v>85</v>
      </c>
    </row>
    <row r="74" spans="1:6" x14ac:dyDescent="0.25">
      <c r="A74" s="3" t="s">
        <v>296</v>
      </c>
      <c r="B74" s="3" t="s">
        <v>332</v>
      </c>
      <c r="C74" s="37">
        <v>64</v>
      </c>
      <c r="D74" s="37">
        <v>75</v>
      </c>
      <c r="E74" s="37">
        <v>83</v>
      </c>
      <c r="F74" s="4">
        <v>85</v>
      </c>
    </row>
    <row r="75" spans="1:6" x14ac:dyDescent="0.25">
      <c r="A75" s="3" t="s">
        <v>297</v>
      </c>
      <c r="B75" s="3" t="s">
        <v>331</v>
      </c>
      <c r="C75" s="37">
        <v>55</v>
      </c>
      <c r="D75" s="37">
        <v>69</v>
      </c>
      <c r="E75" s="37">
        <v>78</v>
      </c>
      <c r="F75" s="4">
        <v>83</v>
      </c>
    </row>
    <row r="76" spans="1:6" x14ac:dyDescent="0.25">
      <c r="A76" s="3" t="s">
        <v>298</v>
      </c>
      <c r="B76" s="3" t="s">
        <v>332</v>
      </c>
      <c r="C76" s="37">
        <v>63</v>
      </c>
      <c r="D76" s="37">
        <v>73</v>
      </c>
      <c r="E76" s="37">
        <v>80</v>
      </c>
      <c r="F76" s="4">
        <v>83</v>
      </c>
    </row>
    <row r="77" spans="1:6" x14ac:dyDescent="0.25">
      <c r="A77" s="3" t="s">
        <v>299</v>
      </c>
      <c r="B77" s="3" t="s">
        <v>331</v>
      </c>
      <c r="C77" s="37">
        <v>51</v>
      </c>
      <c r="D77" s="37">
        <v>67</v>
      </c>
      <c r="E77" s="37">
        <v>76</v>
      </c>
      <c r="F77" s="4">
        <v>80</v>
      </c>
    </row>
    <row r="78" spans="1:6" x14ac:dyDescent="0.25">
      <c r="A78" s="145" t="s">
        <v>327</v>
      </c>
    </row>
    <row r="79" spans="1:6" x14ac:dyDescent="0.25">
      <c r="A79" s="3" t="s">
        <v>328</v>
      </c>
      <c r="B79" s="3" t="s">
        <v>333</v>
      </c>
      <c r="C79" s="4" t="s">
        <v>360</v>
      </c>
      <c r="D79" s="37">
        <v>80</v>
      </c>
      <c r="E79" s="37">
        <v>87</v>
      </c>
      <c r="F79" s="37">
        <v>93</v>
      </c>
    </row>
    <row r="80" spans="1:6" x14ac:dyDescent="0.25">
      <c r="A80" s="3" t="s">
        <v>329</v>
      </c>
      <c r="B80" s="3" t="s">
        <v>334</v>
      </c>
      <c r="C80" s="4" t="s">
        <v>360</v>
      </c>
      <c r="D80" s="37">
        <v>71</v>
      </c>
      <c r="E80" s="37">
        <v>81</v>
      </c>
      <c r="F80" s="37">
        <v>89</v>
      </c>
    </row>
    <row r="81" spans="1:6" x14ac:dyDescent="0.25">
      <c r="A81" s="3" t="s">
        <v>330</v>
      </c>
      <c r="B81" s="3" t="s">
        <v>335</v>
      </c>
      <c r="C81" s="4" t="s">
        <v>360</v>
      </c>
      <c r="D81" s="37">
        <v>62</v>
      </c>
      <c r="E81" s="37">
        <v>74</v>
      </c>
      <c r="F81" s="37">
        <v>85</v>
      </c>
    </row>
    <row r="82" spans="1:6" x14ac:dyDescent="0.25">
      <c r="A82" s="3" t="s">
        <v>336</v>
      </c>
      <c r="B82" s="3" t="s">
        <v>339</v>
      </c>
      <c r="C82" s="4" t="s">
        <v>360</v>
      </c>
      <c r="D82" s="37">
        <v>66</v>
      </c>
      <c r="E82" s="37">
        <v>74</v>
      </c>
      <c r="F82" s="37">
        <v>79</v>
      </c>
    </row>
    <row r="83" spans="1:6" x14ac:dyDescent="0.25">
      <c r="A83" s="3" t="s">
        <v>337</v>
      </c>
      <c r="B83" s="3" t="s">
        <v>340</v>
      </c>
      <c r="C83" s="4" t="s">
        <v>360</v>
      </c>
      <c r="D83" s="37">
        <v>48</v>
      </c>
      <c r="E83" s="37">
        <v>57</v>
      </c>
      <c r="F83" s="37">
        <v>63</v>
      </c>
    </row>
    <row r="84" spans="1:6" x14ac:dyDescent="0.25">
      <c r="A84" s="3" t="s">
        <v>338</v>
      </c>
      <c r="B84" s="3" t="s">
        <v>341</v>
      </c>
      <c r="C84" s="4" t="s">
        <v>360</v>
      </c>
      <c r="D84" s="37">
        <v>30</v>
      </c>
      <c r="E84" s="37">
        <v>41</v>
      </c>
      <c r="F84" s="37">
        <v>48</v>
      </c>
    </row>
    <row r="85" spans="1:6" x14ac:dyDescent="0.25">
      <c r="A85" s="3" t="s">
        <v>342</v>
      </c>
      <c r="B85" s="3" t="s">
        <v>345</v>
      </c>
      <c r="C85" s="4" t="s">
        <v>360</v>
      </c>
      <c r="D85" s="37">
        <v>75</v>
      </c>
      <c r="E85" s="37">
        <v>85</v>
      </c>
      <c r="F85" s="37">
        <v>89</v>
      </c>
    </row>
    <row r="86" spans="1:6" x14ac:dyDescent="0.25">
      <c r="A86" s="3" t="s">
        <v>343</v>
      </c>
      <c r="B86" s="3" t="s">
        <v>346</v>
      </c>
      <c r="C86" s="4" t="s">
        <v>360</v>
      </c>
      <c r="D86" s="37">
        <v>58</v>
      </c>
      <c r="E86" s="37">
        <v>73</v>
      </c>
      <c r="F86" s="37">
        <v>80</v>
      </c>
    </row>
    <row r="87" spans="1:6" x14ac:dyDescent="0.25">
      <c r="A87" s="3" t="s">
        <v>344</v>
      </c>
      <c r="B87" s="3" t="s">
        <v>347</v>
      </c>
      <c r="C87" s="4" t="s">
        <v>360</v>
      </c>
      <c r="D87" s="37">
        <v>41</v>
      </c>
      <c r="E87" s="37">
        <v>61</v>
      </c>
      <c r="F87" s="37">
        <v>71</v>
      </c>
    </row>
    <row r="88" spans="1:6" x14ac:dyDescent="0.25">
      <c r="A88" s="3" t="s">
        <v>348</v>
      </c>
      <c r="B88" t="s">
        <v>351</v>
      </c>
      <c r="C88" s="4" t="s">
        <v>360</v>
      </c>
      <c r="D88" s="37">
        <v>67</v>
      </c>
      <c r="E88" s="37">
        <v>80</v>
      </c>
      <c r="F88" s="37">
        <v>85</v>
      </c>
    </row>
    <row r="89" spans="1:6" x14ac:dyDescent="0.25">
      <c r="A89" s="3" t="s">
        <v>349</v>
      </c>
      <c r="B89" s="3" t="s">
        <v>352</v>
      </c>
      <c r="C89" s="4" t="s">
        <v>360</v>
      </c>
      <c r="D89" s="37">
        <v>51</v>
      </c>
      <c r="E89" s="37">
        <v>63</v>
      </c>
      <c r="F89" s="37">
        <v>70</v>
      </c>
    </row>
    <row r="90" spans="1:6" x14ac:dyDescent="0.25">
      <c r="A90" s="3" t="s">
        <v>350</v>
      </c>
      <c r="B90" s="3" t="s">
        <v>353</v>
      </c>
      <c r="C90" s="4" t="s">
        <v>360</v>
      </c>
      <c r="D90" s="37">
        <v>35</v>
      </c>
      <c r="E90" s="37">
        <v>47</v>
      </c>
      <c r="F90" s="37">
        <v>55</v>
      </c>
    </row>
    <row r="91" spans="1:6" x14ac:dyDescent="0.25">
      <c r="A91" s="3" t="s">
        <v>354</v>
      </c>
      <c r="B91" s="3" t="s">
        <v>357</v>
      </c>
      <c r="C91" s="37">
        <v>63</v>
      </c>
      <c r="D91" s="37">
        <v>77</v>
      </c>
      <c r="E91" s="37">
        <v>85</v>
      </c>
      <c r="F91" s="37">
        <v>88</v>
      </c>
    </row>
    <row r="92" spans="1:6" x14ac:dyDescent="0.25">
      <c r="A92" s="3" t="s">
        <v>355</v>
      </c>
      <c r="B92" s="3" t="s">
        <v>358</v>
      </c>
      <c r="C92" s="37">
        <v>55</v>
      </c>
      <c r="D92" s="37">
        <v>72</v>
      </c>
      <c r="E92" s="37">
        <v>81</v>
      </c>
      <c r="F92" s="37">
        <v>86</v>
      </c>
    </row>
    <row r="93" spans="1:6" x14ac:dyDescent="0.25">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3.2" x14ac:dyDescent="0.25"/>
  <cols>
    <col min="3" max="3" width="28.5546875" customWidth="1"/>
    <col min="4" max="6" width="14.33203125" customWidth="1"/>
  </cols>
  <sheetData>
    <row r="3" spans="3:12" ht="25.5" customHeight="1" thickBot="1" x14ac:dyDescent="0.3">
      <c r="C3" s="208" t="s">
        <v>401</v>
      </c>
      <c r="D3" s="208"/>
      <c r="E3" s="208"/>
      <c r="F3" s="208"/>
      <c r="G3" s="146"/>
      <c r="H3" s="146"/>
      <c r="I3" s="146"/>
      <c r="J3" s="146"/>
      <c r="K3" s="146"/>
      <c r="L3" s="146"/>
    </row>
    <row r="4" spans="3:12" x14ac:dyDescent="0.25">
      <c r="C4" s="209" t="s">
        <v>368</v>
      </c>
      <c r="D4" s="210"/>
      <c r="E4" s="210"/>
      <c r="F4" s="211"/>
      <c r="G4" s="119"/>
      <c r="H4" s="119"/>
      <c r="I4" s="119"/>
      <c r="J4" s="119"/>
      <c r="K4" s="119"/>
      <c r="L4" s="119"/>
    </row>
    <row r="5" spans="3:12" x14ac:dyDescent="0.25">
      <c r="C5" s="212" t="s">
        <v>6</v>
      </c>
      <c r="D5" s="149" t="s">
        <v>369</v>
      </c>
      <c r="E5" s="149" t="s">
        <v>370</v>
      </c>
      <c r="F5" s="153" t="s">
        <v>371</v>
      </c>
    </row>
    <row r="6" spans="3:12" x14ac:dyDescent="0.25">
      <c r="C6" s="212"/>
      <c r="D6" s="149" t="s">
        <v>403</v>
      </c>
      <c r="E6" s="149" t="s">
        <v>404</v>
      </c>
      <c r="F6" s="153" t="s">
        <v>405</v>
      </c>
    </row>
    <row r="7" spans="3:12" ht="6.75" customHeight="1" x14ac:dyDescent="0.25">
      <c r="C7" s="154"/>
      <c r="D7" s="150"/>
      <c r="E7" s="150"/>
      <c r="F7" s="155"/>
    </row>
    <row r="8" spans="3:12" x14ac:dyDescent="0.25">
      <c r="C8" s="126" t="s">
        <v>372</v>
      </c>
      <c r="D8" s="151">
        <v>0.9</v>
      </c>
      <c r="E8" s="151">
        <v>0.9</v>
      </c>
      <c r="F8" s="156">
        <v>0.9</v>
      </c>
      <c r="I8" s="3" t="s">
        <v>406</v>
      </c>
    </row>
    <row r="9" spans="3:12" x14ac:dyDescent="0.25">
      <c r="C9" s="126" t="s">
        <v>373</v>
      </c>
      <c r="D9" s="151">
        <v>0.5</v>
      </c>
      <c r="E9" s="151">
        <v>0.5</v>
      </c>
      <c r="F9" s="156">
        <v>0.5</v>
      </c>
      <c r="I9" s="3" t="s">
        <v>407</v>
      </c>
    </row>
    <row r="10" spans="3:12" x14ac:dyDescent="0.25">
      <c r="C10" s="126" t="s">
        <v>374</v>
      </c>
      <c r="D10" s="151">
        <v>0.75</v>
      </c>
      <c r="E10" s="151">
        <v>0.8</v>
      </c>
      <c r="F10" s="156">
        <v>0.85</v>
      </c>
      <c r="I10" s="3" t="s">
        <v>408</v>
      </c>
    </row>
    <row r="11" spans="3:12" x14ac:dyDescent="0.25">
      <c r="C11" s="126" t="s">
        <v>375</v>
      </c>
      <c r="D11" s="151">
        <v>0.5</v>
      </c>
      <c r="E11" s="151">
        <v>0.55000000000000004</v>
      </c>
      <c r="F11" s="156">
        <v>0.6</v>
      </c>
    </row>
    <row r="12" spans="3:12" x14ac:dyDescent="0.25">
      <c r="C12" s="126" t="s">
        <v>376</v>
      </c>
      <c r="D12" s="151">
        <v>0.8</v>
      </c>
      <c r="E12" s="151">
        <v>0.85</v>
      </c>
      <c r="F12" s="156">
        <v>0.85</v>
      </c>
    </row>
    <row r="13" spans="3:12" x14ac:dyDescent="0.25">
      <c r="C13" s="126" t="s">
        <v>377</v>
      </c>
      <c r="D13" s="151">
        <v>0.34</v>
      </c>
      <c r="E13" s="151">
        <v>0.45</v>
      </c>
      <c r="F13" s="156">
        <v>0.59</v>
      </c>
    </row>
    <row r="14" spans="3:12" x14ac:dyDescent="0.25">
      <c r="C14" s="126" t="s">
        <v>378</v>
      </c>
      <c r="D14" s="151">
        <v>0.35</v>
      </c>
      <c r="E14" s="151">
        <v>0.47</v>
      </c>
      <c r="F14" s="156">
        <v>0.61</v>
      </c>
    </row>
    <row r="15" spans="3:12" x14ac:dyDescent="0.25">
      <c r="C15" s="126" t="s">
        <v>379</v>
      </c>
      <c r="D15" s="151">
        <v>0.4</v>
      </c>
      <c r="E15" s="151">
        <v>0.53</v>
      </c>
      <c r="F15" s="156">
        <v>0.69</v>
      </c>
    </row>
    <row r="16" spans="3:12" ht="6.75" customHeight="1" x14ac:dyDescent="0.25">
      <c r="C16" s="157"/>
      <c r="D16" s="152"/>
      <c r="E16" s="152"/>
      <c r="F16" s="158"/>
    </row>
    <row r="17" spans="3:6" x14ac:dyDescent="0.25">
      <c r="C17" s="126" t="s">
        <v>380</v>
      </c>
      <c r="D17" s="151">
        <v>0.5</v>
      </c>
      <c r="E17" s="151">
        <v>0.6</v>
      </c>
      <c r="F17" s="156">
        <v>0.7</v>
      </c>
    </row>
    <row r="18" spans="3:6" x14ac:dyDescent="0.25">
      <c r="C18" s="126" t="s">
        <v>381</v>
      </c>
      <c r="D18" s="151">
        <v>0.45</v>
      </c>
      <c r="E18" s="151">
        <v>0.5</v>
      </c>
      <c r="F18" s="156">
        <v>0.55000000000000004</v>
      </c>
    </row>
    <row r="19" spans="3:6" x14ac:dyDescent="0.25">
      <c r="C19" s="126" t="s">
        <v>382</v>
      </c>
      <c r="D19" s="151">
        <v>0.6</v>
      </c>
      <c r="E19" s="151">
        <v>0.65</v>
      </c>
      <c r="F19" s="156">
        <v>0.7</v>
      </c>
    </row>
    <row r="20" spans="3:6" x14ac:dyDescent="0.25">
      <c r="C20" s="126" t="s">
        <v>383</v>
      </c>
      <c r="D20" s="151">
        <v>0.1</v>
      </c>
      <c r="E20" s="151">
        <v>0.15</v>
      </c>
      <c r="F20" s="156">
        <v>0.2</v>
      </c>
    </row>
    <row r="21" spans="3:6" x14ac:dyDescent="0.25">
      <c r="C21" s="126" t="s">
        <v>384</v>
      </c>
      <c r="D21" s="151">
        <v>0.17</v>
      </c>
      <c r="E21" s="151">
        <v>0.22</v>
      </c>
      <c r="F21" s="156">
        <v>0.35</v>
      </c>
    </row>
    <row r="22" spans="3:6" ht="6.75" customHeight="1" x14ac:dyDescent="0.25">
      <c r="C22" s="157"/>
      <c r="D22" s="152"/>
      <c r="E22" s="152"/>
      <c r="F22" s="158"/>
    </row>
    <row r="23" spans="3:6" x14ac:dyDescent="0.25">
      <c r="C23" s="126" t="s">
        <v>385</v>
      </c>
      <c r="D23" s="151">
        <v>0.25</v>
      </c>
      <c r="E23" s="151">
        <v>0.25</v>
      </c>
      <c r="F23" s="156">
        <v>0.25</v>
      </c>
    </row>
    <row r="24" spans="3:6" x14ac:dyDescent="0.25">
      <c r="C24" s="126" t="s">
        <v>386</v>
      </c>
      <c r="D24" s="151">
        <v>0.6</v>
      </c>
      <c r="E24" s="151">
        <v>0.6</v>
      </c>
      <c r="F24" s="156">
        <v>0.6</v>
      </c>
    </row>
    <row r="25" spans="3:6" x14ac:dyDescent="0.25">
      <c r="C25" s="126" t="s">
        <v>387</v>
      </c>
      <c r="D25" s="151">
        <v>0.3</v>
      </c>
      <c r="E25" s="151">
        <v>0.3</v>
      </c>
      <c r="F25" s="156">
        <v>0.3</v>
      </c>
    </row>
    <row r="26" spans="3:6" x14ac:dyDescent="0.25">
      <c r="C26" s="126" t="s">
        <v>388</v>
      </c>
      <c r="D26" s="151">
        <v>0.25</v>
      </c>
      <c r="E26" s="151">
        <v>0.3</v>
      </c>
      <c r="F26" s="156">
        <v>0.3</v>
      </c>
    </row>
    <row r="27" spans="3:6" x14ac:dyDescent="0.25">
      <c r="C27" s="126" t="s">
        <v>389</v>
      </c>
      <c r="D27" s="151">
        <v>0.5</v>
      </c>
      <c r="E27" s="151">
        <v>0.55000000000000004</v>
      </c>
      <c r="F27" s="156">
        <v>0.6</v>
      </c>
    </row>
    <row r="28" spans="3:6" ht="6.75" customHeight="1" x14ac:dyDescent="0.25">
      <c r="C28" s="157"/>
      <c r="D28" s="152"/>
      <c r="E28" s="152"/>
      <c r="F28" s="158"/>
    </row>
    <row r="29" spans="3:6" x14ac:dyDescent="0.25">
      <c r="C29" s="126" t="s">
        <v>390</v>
      </c>
      <c r="D29" s="151">
        <v>0.25</v>
      </c>
      <c r="E29" s="151">
        <v>0.3</v>
      </c>
      <c r="F29" s="156">
        <v>0.35</v>
      </c>
    </row>
    <row r="30" spans="3:6" x14ac:dyDescent="0.25">
      <c r="C30" s="126" t="s">
        <v>391</v>
      </c>
      <c r="D30" s="151">
        <v>0.5</v>
      </c>
      <c r="E30" s="151">
        <v>0.7</v>
      </c>
      <c r="F30" s="156">
        <v>0.8</v>
      </c>
    </row>
    <row r="31" spans="3:6" x14ac:dyDescent="0.25">
      <c r="C31" s="126" t="s">
        <v>392</v>
      </c>
      <c r="D31" s="151">
        <v>0.6</v>
      </c>
      <c r="E31" s="151">
        <v>0.8</v>
      </c>
      <c r="F31" s="156">
        <v>0.9</v>
      </c>
    </row>
    <row r="32" spans="3:6" x14ac:dyDescent="0.25">
      <c r="C32" s="126" t="s">
        <v>393</v>
      </c>
      <c r="D32" s="151">
        <v>0.1</v>
      </c>
      <c r="E32" s="151">
        <v>0.15</v>
      </c>
      <c r="F32" s="156">
        <v>0.25</v>
      </c>
    </row>
    <row r="33" spans="3:6" x14ac:dyDescent="0.25">
      <c r="C33" s="126" t="s">
        <v>394</v>
      </c>
      <c r="D33" s="151">
        <v>0.2</v>
      </c>
      <c r="E33" s="151">
        <v>0.25</v>
      </c>
      <c r="F33" s="156">
        <v>0.3</v>
      </c>
    </row>
    <row r="34" spans="3:6" ht="6.75" customHeight="1" x14ac:dyDescent="0.25">
      <c r="C34" s="157"/>
      <c r="D34" s="152"/>
      <c r="E34" s="152"/>
      <c r="F34" s="158"/>
    </row>
    <row r="35" spans="3:6" x14ac:dyDescent="0.25">
      <c r="C35" s="126" t="s">
        <v>395</v>
      </c>
      <c r="D35" s="151">
        <v>0.1</v>
      </c>
      <c r="E35" s="151">
        <v>0.15</v>
      </c>
      <c r="F35" s="156">
        <v>0.2</v>
      </c>
    </row>
    <row r="36" spans="3:6" x14ac:dyDescent="0.25">
      <c r="C36" s="126" t="s">
        <v>396</v>
      </c>
      <c r="D36" s="151">
        <v>0.25</v>
      </c>
      <c r="E36" s="151">
        <v>0.3</v>
      </c>
      <c r="F36" s="156">
        <v>0.35</v>
      </c>
    </row>
    <row r="37" spans="3:6" x14ac:dyDescent="0.25">
      <c r="C37" s="126" t="s">
        <v>397</v>
      </c>
      <c r="D37" s="151">
        <v>0.1</v>
      </c>
      <c r="E37" s="151">
        <v>0.2</v>
      </c>
      <c r="F37" s="156">
        <v>0.3</v>
      </c>
    </row>
    <row r="38" spans="3:6" ht="6.75" customHeight="1" x14ac:dyDescent="0.25">
      <c r="C38" s="157"/>
      <c r="D38" s="152"/>
      <c r="E38" s="152"/>
      <c r="F38" s="158"/>
    </row>
    <row r="39" spans="3:6" x14ac:dyDescent="0.25">
      <c r="C39" s="126" t="s">
        <v>398</v>
      </c>
      <c r="D39" s="151">
        <v>0.25</v>
      </c>
      <c r="E39" s="151">
        <v>0.3</v>
      </c>
      <c r="F39" s="159" t="s">
        <v>360</v>
      </c>
    </row>
    <row r="40" spans="3:6" ht="13.8" thickBot="1" x14ac:dyDescent="0.3">
      <c r="C40" s="160" t="s">
        <v>399</v>
      </c>
      <c r="D40" s="161">
        <v>0.6</v>
      </c>
      <c r="E40" s="161">
        <v>0.7</v>
      </c>
      <c r="F40" s="162">
        <v>0.75</v>
      </c>
    </row>
    <row r="41" spans="3:6" ht="38.25" customHeight="1" thickBot="1" x14ac:dyDescent="0.3">
      <c r="C41" s="213" t="s">
        <v>400</v>
      </c>
      <c r="D41" s="214"/>
      <c r="E41" s="214"/>
      <c r="F41" s="215"/>
    </row>
    <row r="42" spans="3:6" x14ac:dyDescent="0.25">
      <c r="D42" s="37"/>
      <c r="E42" s="37"/>
      <c r="F42" s="37"/>
    </row>
    <row r="43" spans="3:6" x14ac:dyDescent="0.25">
      <c r="D43" s="37"/>
      <c r="E43" s="37"/>
      <c r="F43" s="37"/>
    </row>
    <row r="44" spans="3:6" x14ac:dyDescent="0.25">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3.2" x14ac:dyDescent="0.25"/>
  <cols>
    <col min="3" max="3" width="16.88671875" bestFit="1" customWidth="1"/>
  </cols>
  <sheetData>
    <row r="5" spans="3:4" x14ac:dyDescent="0.25">
      <c r="C5" s="3" t="s">
        <v>409</v>
      </c>
      <c r="D5" s="164">
        <v>1.0999999999999999E-2</v>
      </c>
    </row>
    <row r="6" spans="3:4" x14ac:dyDescent="0.25">
      <c r="C6" s="3" t="s">
        <v>410</v>
      </c>
      <c r="D6" s="164">
        <v>0.2</v>
      </c>
    </row>
    <row r="7" spans="3:4" x14ac:dyDescent="0.25">
      <c r="C7" s="3" t="s">
        <v>411</v>
      </c>
      <c r="D7" s="164">
        <v>0.4</v>
      </c>
    </row>
    <row r="8" spans="3:4" x14ac:dyDescent="0.25">
      <c r="C8" s="3" t="s">
        <v>80</v>
      </c>
      <c r="D8" s="164">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71" zoomScaleNormal="100" workbookViewId="0">
      <selection activeCell="A87" sqref="A87:H88"/>
    </sheetView>
  </sheetViews>
  <sheetFormatPr defaultColWidth="9.109375" defaultRowHeight="11.4" x14ac:dyDescent="0.2"/>
  <cols>
    <col min="1" max="1" width="22.88671875" style="75" customWidth="1"/>
    <col min="2" max="2" width="9.33203125" style="75" customWidth="1"/>
    <col min="3" max="3" width="6.44140625" style="75" customWidth="1"/>
    <col min="4" max="4" width="9.6640625" style="75" customWidth="1"/>
    <col min="5" max="5" width="14.109375" style="75" customWidth="1"/>
    <col min="6" max="6" width="11" style="75" customWidth="1"/>
    <col min="7" max="7" width="9.5546875" style="75" customWidth="1"/>
    <col min="8" max="8" width="6.88671875" style="75" customWidth="1"/>
    <col min="9" max="9" width="12" style="75" hidden="1" customWidth="1"/>
    <col min="10" max="22" width="9.109375" style="75" hidden="1" customWidth="1"/>
    <col min="23" max="16384" width="9.109375" style="75"/>
  </cols>
  <sheetData>
    <row r="2" spans="1:35" s="76" customFormat="1" ht="13.2" x14ac:dyDescent="0.25">
      <c r="A2" s="109" t="s">
        <v>420</v>
      </c>
    </row>
    <row r="3" spans="1:35" ht="13.2" x14ac:dyDescent="0.25">
      <c r="A3" s="110"/>
      <c r="B3" s="77"/>
      <c r="C3" s="77"/>
      <c r="D3" s="77"/>
      <c r="E3" s="77"/>
      <c r="F3" s="77"/>
    </row>
    <row r="4" spans="1:35" ht="8.25" customHeight="1" x14ac:dyDescent="0.2"/>
    <row r="5" spans="1:35" ht="12" customHeight="1" x14ac:dyDescent="0.25">
      <c r="A5" s="78" t="s">
        <v>0</v>
      </c>
    </row>
    <row r="6" spans="1:35" ht="18.75" customHeight="1" x14ac:dyDescent="0.25">
      <c r="A6" s="194" t="s">
        <v>423</v>
      </c>
      <c r="B6" s="194"/>
      <c r="C6" s="194"/>
      <c r="D6" s="194"/>
      <c r="E6" s="194"/>
      <c r="F6" s="194"/>
      <c r="G6" s="194"/>
      <c r="H6" s="194"/>
      <c r="I6" s="169"/>
      <c r="J6" s="169"/>
    </row>
    <row r="7" spans="1:35" ht="72.75" customHeight="1" x14ac:dyDescent="0.25">
      <c r="A7" s="194"/>
      <c r="B7" s="194"/>
      <c r="C7" s="194"/>
      <c r="D7" s="194"/>
      <c r="E7" s="194"/>
      <c r="F7" s="194"/>
      <c r="G7" s="194"/>
      <c r="H7" s="194"/>
      <c r="I7" s="170"/>
      <c r="J7" s="170"/>
    </row>
    <row r="8" spans="1:35" x14ac:dyDescent="0.2">
      <c r="A8" s="77"/>
      <c r="B8" s="77"/>
      <c r="C8" s="77"/>
      <c r="D8" s="77"/>
      <c r="E8" s="77"/>
      <c r="F8" s="77"/>
      <c r="G8" s="77"/>
      <c r="H8" s="77"/>
      <c r="I8" s="77"/>
    </row>
    <row r="9" spans="1:35" x14ac:dyDescent="0.2">
      <c r="A9" s="77" t="s">
        <v>1</v>
      </c>
      <c r="B9" s="77"/>
      <c r="D9" s="111">
        <v>15.56</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8" t="s">
        <v>361</v>
      </c>
      <c r="B12" s="143" t="s">
        <v>225</v>
      </c>
      <c r="C12" s="77"/>
      <c r="D12" s="77"/>
      <c r="E12" s="77"/>
      <c r="F12" s="77"/>
      <c r="G12" s="77"/>
      <c r="H12" s="77"/>
      <c r="I12" s="77"/>
    </row>
    <row r="13" spans="1:35" ht="13.5" customHeight="1" thickBot="1" x14ac:dyDescent="0.25">
      <c r="A13" s="147"/>
      <c r="B13" s="77"/>
      <c r="C13" s="77"/>
      <c r="D13" s="77"/>
      <c r="E13" s="77"/>
      <c r="F13" s="77"/>
      <c r="G13" s="77"/>
      <c r="H13" s="77"/>
      <c r="I13" s="77"/>
    </row>
    <row r="14" spans="1:35" x14ac:dyDescent="0.2">
      <c r="A14" s="77"/>
      <c r="B14" s="51" t="s">
        <v>2</v>
      </c>
      <c r="C14" s="51"/>
      <c r="D14" s="51" t="s">
        <v>79</v>
      </c>
      <c r="E14" s="192" t="s">
        <v>6</v>
      </c>
      <c r="F14" s="192"/>
      <c r="G14" s="77"/>
      <c r="H14" s="77"/>
      <c r="I14" s="77"/>
      <c r="W14" s="189" t="s">
        <v>362</v>
      </c>
      <c r="X14" s="190"/>
      <c r="Y14" s="190"/>
      <c r="Z14" s="190"/>
      <c r="AA14" s="190"/>
      <c r="AB14" s="190"/>
      <c r="AC14" s="190"/>
      <c r="AD14" s="190"/>
      <c r="AE14" s="190"/>
      <c r="AF14" s="190"/>
      <c r="AG14" s="190"/>
      <c r="AH14" s="190"/>
      <c r="AI14" s="191"/>
    </row>
    <row r="15" spans="1:35" x14ac:dyDescent="0.2">
      <c r="A15" s="77"/>
      <c r="B15" s="111">
        <v>1.74</v>
      </c>
      <c r="C15" s="51" t="s">
        <v>3</v>
      </c>
      <c r="D15" s="79">
        <f>IF(ISBLANK(E15),0,IF($B$12='Curve Numbers'!$C$4,VLOOKUP(E15,'Curve Numbers'!$A$5:$F$93,3,FALSE),IF($B$12='Curve Numbers'!$D$4,VLOOKUP(E15,'Curve Numbers'!$A$5:$F$93,4,FALSE),IF($B$12='Curve Numbers'!$E$4,VLOOKUP(E15,'Curve Numbers'!$A$5:$F$93,5,FALSE),IF($B$12='Curve Numbers'!$F$4,VLOOKUP(E15,'Curve Numbers'!$A$5:$F$93,6,FALSE),"UPDATE")))))</f>
        <v>92</v>
      </c>
      <c r="E15" s="182" t="s">
        <v>235</v>
      </c>
      <c r="F15" s="182"/>
      <c r="G15" s="182"/>
      <c r="H15" s="77"/>
      <c r="I15" s="77"/>
      <c r="W15" s="186" t="str">
        <f>IF(ISBLANK(E15),"",VLOOKUP(E15,'Curve Numbers'!$A$5:$F$93,2,FALSE))</f>
        <v xml:space="preserve">Impervious Area  </v>
      </c>
      <c r="X15" s="187"/>
      <c r="Y15" s="187"/>
      <c r="Z15" s="187"/>
      <c r="AA15" s="187"/>
      <c r="AB15" s="187"/>
      <c r="AC15" s="187"/>
      <c r="AD15" s="187"/>
      <c r="AE15" s="187"/>
      <c r="AF15" s="187"/>
      <c r="AG15" s="187"/>
      <c r="AH15" s="187"/>
      <c r="AI15" s="188"/>
    </row>
    <row r="16" spans="1:35" x14ac:dyDescent="0.2">
      <c r="A16" s="77"/>
      <c r="B16" s="111">
        <v>2.34</v>
      </c>
      <c r="C16" s="51" t="s">
        <v>3</v>
      </c>
      <c r="D16" s="79">
        <f>IF(ISBLANK(E16),0,IF($B$12='Curve Numbers'!$C$4,VLOOKUP(E16,'Curve Numbers'!$A$5:$F$93,3,FALSE),IF($B$12='Curve Numbers'!$D$4,VLOOKUP(E16,'Curve Numbers'!$A$5:$F$93,4,FALSE),IF($B$12='Curve Numbers'!$E$4,VLOOKUP(E16,'Curve Numbers'!$A$5:$F$93,5,FALSE),IF($B$12='Curve Numbers'!$F$4,VLOOKUP(E16,'Curve Numbers'!$A$5:$F$93,6,FALSE),"UPDATE")))))</f>
        <v>70</v>
      </c>
      <c r="E16" s="182" t="s">
        <v>314</v>
      </c>
      <c r="F16" s="182"/>
      <c r="G16" s="182"/>
      <c r="H16" s="77"/>
      <c r="I16" s="77"/>
      <c r="W16" s="186" t="str">
        <f>IF(ISBLANK(E16),"",VLOOKUP(E16,'Curve Numbers'!$A$5:$F$93,2,FALSE))</f>
        <v>Woods are protected from grazing, and litter and brush adequately cover the soil.</v>
      </c>
      <c r="X16" s="187"/>
      <c r="Y16" s="187"/>
      <c r="Z16" s="187"/>
      <c r="AA16" s="187"/>
      <c r="AB16" s="187"/>
      <c r="AC16" s="187"/>
      <c r="AD16" s="187"/>
      <c r="AE16" s="187"/>
      <c r="AF16" s="187"/>
      <c r="AG16" s="187"/>
      <c r="AH16" s="187"/>
      <c r="AI16" s="188"/>
    </row>
    <row r="17" spans="1:35" x14ac:dyDescent="0.2">
      <c r="A17" s="77"/>
      <c r="B17" s="111">
        <v>9.8000000000000007</v>
      </c>
      <c r="C17" s="51" t="s">
        <v>3</v>
      </c>
      <c r="D17" s="79">
        <f>IF(ISBLANK(E17),0,IF($B$12='Curve Numbers'!$C$4,VLOOKUP(E17,'Curve Numbers'!$A$5:$F$93,3,FALSE),IF($B$12='Curve Numbers'!$D$4,VLOOKUP(E17,'Curve Numbers'!$A$5:$F$93,4,FALSE),IF($B$12='Curve Numbers'!$E$4,VLOOKUP(E17,'Curve Numbers'!$A$5:$F$93,5,FALSE),IF($B$12='Curve Numbers'!$F$4,VLOOKUP(E17,'Curve Numbers'!$A$5:$F$93,6,FALSE),"UPDATE")))))</f>
        <v>80</v>
      </c>
      <c r="E17" s="182" t="s">
        <v>253</v>
      </c>
      <c r="F17" s="182"/>
      <c r="G17" s="182"/>
      <c r="H17" s="77"/>
      <c r="I17" s="77"/>
      <c r="W17" s="186" t="str">
        <f>IF(ISBLANK(E17),"",VLOOKUP(E17,'Curve Numbers'!$A$5:$F$93,2,FALSE))</f>
        <v>Average Impervious Area = 25%</v>
      </c>
      <c r="X17" s="187"/>
      <c r="Y17" s="187"/>
      <c r="Z17" s="187"/>
      <c r="AA17" s="187"/>
      <c r="AB17" s="187"/>
      <c r="AC17" s="187"/>
      <c r="AD17" s="187"/>
      <c r="AE17" s="187"/>
      <c r="AF17" s="187"/>
      <c r="AG17" s="187"/>
      <c r="AH17" s="187"/>
      <c r="AI17" s="188"/>
    </row>
    <row r="18" spans="1:35" x14ac:dyDescent="0.2">
      <c r="A18" s="77"/>
      <c r="B18" s="111">
        <v>1.68</v>
      </c>
      <c r="C18" s="51" t="s">
        <v>3</v>
      </c>
      <c r="D18" s="79">
        <f>IF(ISBLANK(E18),0,IF($B$12='Curve Numbers'!$C$4,VLOOKUP(E18,'Curve Numbers'!$A$5:$F$93,3,FALSE),IF($B$12='Curve Numbers'!$D$4,VLOOKUP(E18,'Curve Numbers'!$A$5:$F$93,4,FALSE),IF($B$12='Curve Numbers'!$E$4,VLOOKUP(E18,'Curve Numbers'!$A$5:$F$93,5,FALSE),IF($B$12='Curve Numbers'!$F$4,VLOOKUP(E18,'Curve Numbers'!$A$5:$F$93,6,FALSE),"UPDATE")))))</f>
        <v>74</v>
      </c>
      <c r="E18" s="182" t="s">
        <v>231</v>
      </c>
      <c r="F18" s="182"/>
      <c r="G18" s="182"/>
      <c r="H18" s="77"/>
      <c r="I18" s="77"/>
      <c r="W18" s="186" t="str">
        <f>IF(ISBLANK(E18),"",VLOOKUP(E18,'Curve Numbers'!$A$5:$F$93,2,FALSE))</f>
        <v>Grass Cover &gt; 75%</v>
      </c>
      <c r="X18" s="187"/>
      <c r="Y18" s="187"/>
      <c r="Z18" s="187"/>
      <c r="AA18" s="187"/>
      <c r="AB18" s="187"/>
      <c r="AC18" s="187"/>
      <c r="AD18" s="187"/>
      <c r="AE18" s="187"/>
      <c r="AF18" s="187"/>
      <c r="AG18" s="187"/>
      <c r="AH18" s="187"/>
      <c r="AI18" s="188"/>
    </row>
    <row r="19" spans="1:35" x14ac:dyDescent="0.2">
      <c r="A19" s="77"/>
      <c r="B19" s="111">
        <v>0</v>
      </c>
      <c r="C19" s="51" t="s">
        <v>3</v>
      </c>
      <c r="D19" s="79">
        <f>IF(ISBLANK(E19),0,IF($B$12='Curve Numbers'!$C$4,VLOOKUP(E19,'Curve Numbers'!$A$5:$F$93,3,FALSE),IF($B$12='Curve Numbers'!$D$4,VLOOKUP(E19,'Curve Numbers'!$A$5:$F$93,4,FALSE),IF($B$12='Curve Numbers'!$E$4,VLOOKUP(E19,'Curve Numbers'!$A$5:$F$93,5,FALSE),IF($B$12='Curve Numbers'!$F$4,VLOOKUP(E19,'Curve Numbers'!$A$5:$F$93,6,FALSE),"UPDATE")))))</f>
        <v>74</v>
      </c>
      <c r="E19" s="182" t="s">
        <v>231</v>
      </c>
      <c r="F19" s="182"/>
      <c r="G19" s="182"/>
      <c r="H19" s="77"/>
      <c r="I19" s="77"/>
      <c r="W19" s="186" t="str">
        <f>IF(ISBLANK(E19),"",VLOOKUP(E19,'Curve Numbers'!$A$5:$F$93,2,FALSE))</f>
        <v>Grass Cover &gt; 75%</v>
      </c>
      <c r="X19" s="187"/>
      <c r="Y19" s="187"/>
      <c r="Z19" s="187"/>
      <c r="AA19" s="187"/>
      <c r="AB19" s="187"/>
      <c r="AC19" s="187"/>
      <c r="AD19" s="187"/>
      <c r="AE19" s="187"/>
      <c r="AF19" s="187"/>
      <c r="AG19" s="187"/>
      <c r="AH19" s="187"/>
      <c r="AI19" s="188"/>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2"/>
      <c r="F20" s="182"/>
      <c r="G20" s="182"/>
      <c r="H20" s="77"/>
      <c r="I20" s="77"/>
      <c r="W20" s="186" t="str">
        <f>IF(ISBLANK(E20),"",VLOOKUP(E20,'Curve Numbers'!$A$5:$F$93,2,FALSE))</f>
        <v/>
      </c>
      <c r="X20" s="187"/>
      <c r="Y20" s="187"/>
      <c r="Z20" s="187"/>
      <c r="AA20" s="187"/>
      <c r="AB20" s="187"/>
      <c r="AC20" s="187"/>
      <c r="AD20" s="187"/>
      <c r="AE20" s="187"/>
      <c r="AF20" s="187"/>
      <c r="AG20" s="187"/>
      <c r="AH20" s="187"/>
      <c r="AI20" s="188"/>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2"/>
      <c r="F21" s="182"/>
      <c r="G21" s="182"/>
      <c r="H21" s="77"/>
      <c r="I21" s="77"/>
      <c r="W21" s="186" t="str">
        <f>IF(ISBLANK(E21),"",VLOOKUP(E21,'Curve Numbers'!$A$5:$F$93,2,FALSE))</f>
        <v/>
      </c>
      <c r="X21" s="187"/>
      <c r="Y21" s="187"/>
      <c r="Z21" s="187"/>
      <c r="AA21" s="187"/>
      <c r="AB21" s="187"/>
      <c r="AC21" s="187"/>
      <c r="AD21" s="187"/>
      <c r="AE21" s="187"/>
      <c r="AF21" s="187"/>
      <c r="AG21" s="187"/>
      <c r="AH21" s="187"/>
      <c r="AI21" s="188"/>
    </row>
    <row r="22" spans="1:35" ht="12"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2"/>
      <c r="F22" s="182"/>
      <c r="G22" s="182"/>
      <c r="H22" s="77"/>
      <c r="I22" s="77"/>
      <c r="W22" s="183" t="str">
        <f>IF(ISBLANK(E22),"",VLOOKUP(E22,'Curve Numbers'!$A$5:$F$93,2,FALSE))</f>
        <v/>
      </c>
      <c r="X22" s="184"/>
      <c r="Y22" s="184"/>
      <c r="Z22" s="184"/>
      <c r="AA22" s="184"/>
      <c r="AB22" s="184"/>
      <c r="AC22" s="184"/>
      <c r="AD22" s="184"/>
      <c r="AE22" s="184"/>
      <c r="AF22" s="184"/>
      <c r="AG22" s="184"/>
      <c r="AH22" s="184"/>
      <c r="AI22" s="185"/>
    </row>
    <row r="23" spans="1:35" x14ac:dyDescent="0.2">
      <c r="A23" s="77"/>
      <c r="B23" s="81"/>
      <c r="C23" s="77"/>
      <c r="D23" s="77"/>
      <c r="E23" s="77"/>
      <c r="F23" s="77"/>
      <c r="G23" s="77"/>
      <c r="H23" s="77"/>
      <c r="I23" s="77"/>
    </row>
    <row r="24" spans="1:35" x14ac:dyDescent="0.2">
      <c r="E24" s="75" t="s">
        <v>81</v>
      </c>
      <c r="G24" s="82">
        <f>((B15*D15)+(B16*D16)+(B17*D17)+(B22*D22)+(B21*D21)+(B18*D18)+(B19*D19)+(B20*D20))/(D9)</f>
        <v>79.19023136246787</v>
      </c>
    </row>
    <row r="26" spans="1:35" ht="15" x14ac:dyDescent="0.35">
      <c r="A26" s="83" t="s">
        <v>94</v>
      </c>
      <c r="B26" s="83"/>
      <c r="C26" s="83"/>
    </row>
    <row r="28" spans="1:35" ht="15" x14ac:dyDescent="0.35">
      <c r="B28" s="75" t="s">
        <v>95</v>
      </c>
      <c r="E28" s="84">
        <f>'tc-pre'!D48</f>
        <v>1.3979257150990192</v>
      </c>
      <c r="F28" s="75" t="s">
        <v>11</v>
      </c>
    </row>
    <row r="29" spans="1:35" x14ac:dyDescent="0.2">
      <c r="B29" s="75" t="s">
        <v>9</v>
      </c>
    </row>
    <row r="31" spans="1:35" x14ac:dyDescent="0.2">
      <c r="A31" s="83" t="s">
        <v>82</v>
      </c>
    </row>
    <row r="32" spans="1:35" x14ac:dyDescent="0.2">
      <c r="A32" s="97" t="s">
        <v>367</v>
      </c>
      <c r="B32" s="195" t="s">
        <v>159</v>
      </c>
      <c r="C32" s="195"/>
      <c r="D32" s="195"/>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5" x14ac:dyDescent="0.35">
      <c r="A41" s="83" t="s">
        <v>96</v>
      </c>
    </row>
    <row r="43" spans="1:9" x14ac:dyDescent="0.2">
      <c r="C43" s="75" t="s">
        <v>84</v>
      </c>
      <c r="E43" s="87">
        <f>1000/G24-10</f>
        <v>2.6278201590650863</v>
      </c>
      <c r="F43" s="75" t="s">
        <v>85</v>
      </c>
      <c r="G43" s="77"/>
    </row>
    <row r="45" spans="1:9" ht="15" x14ac:dyDescent="0.35">
      <c r="C45" s="75" t="s">
        <v>97</v>
      </c>
      <c r="E45" s="87">
        <f>0.2*E43</f>
        <v>0.52556403181301725</v>
      </c>
      <c r="F45" s="75" t="s">
        <v>85</v>
      </c>
    </row>
    <row r="46" spans="1:9" ht="12" x14ac:dyDescent="0.25">
      <c r="A46" s="76" t="str">
        <f>A2</f>
        <v>Lexington County I-20 Widening - Outfall #5</v>
      </c>
      <c r="B46" s="76"/>
      <c r="C46" s="76"/>
      <c r="D46" s="76"/>
      <c r="E46" s="76"/>
      <c r="F46" s="76"/>
      <c r="G46" s="76"/>
      <c r="H46" s="76"/>
      <c r="I46" s="76"/>
    </row>
    <row r="47" spans="1:9" s="88" customFormat="1" ht="16.5" customHeight="1" x14ac:dyDescent="0.25">
      <c r="A47" s="88">
        <f>A3</f>
        <v>0</v>
      </c>
      <c r="B47" s="75"/>
      <c r="C47" s="75"/>
      <c r="D47" s="75"/>
      <c r="E47" s="75"/>
      <c r="F47" s="75"/>
      <c r="G47" s="75"/>
      <c r="H47" s="75"/>
      <c r="I47" s="75"/>
    </row>
    <row r="49" spans="1:22" s="76" customFormat="1" ht="12" x14ac:dyDescent="0.25">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2.8" x14ac:dyDescent="0.2">
      <c r="B55" s="89" t="s">
        <v>13</v>
      </c>
      <c r="C55" s="90" t="s">
        <v>87</v>
      </c>
      <c r="D55" s="90" t="s">
        <v>88</v>
      </c>
      <c r="E55" s="90" t="s">
        <v>22</v>
      </c>
      <c r="F55" s="90" t="s">
        <v>32</v>
      </c>
      <c r="H55" s="90"/>
    </row>
    <row r="56" spans="1:22" x14ac:dyDescent="0.2">
      <c r="B56" s="90">
        <v>2</v>
      </c>
      <c r="C56" s="86">
        <f>F35</f>
        <v>3.6</v>
      </c>
      <c r="D56" s="86">
        <f>$E$43</f>
        <v>2.6278201590650863</v>
      </c>
      <c r="E56" s="90" t="s">
        <v>22</v>
      </c>
      <c r="F56" s="91">
        <f>((C56-0.2*D56)^2)/(C56+0.8*D56)</f>
        <v>1.6576169697654126</v>
      </c>
      <c r="G56" s="75" t="s">
        <v>85</v>
      </c>
      <c r="H56" s="82"/>
    </row>
    <row r="57" spans="1:22" ht="14.25" customHeight="1" x14ac:dyDescent="0.2">
      <c r="B57" s="90">
        <v>10</v>
      </c>
      <c r="C57" s="86">
        <f>F36</f>
        <v>5.3</v>
      </c>
      <c r="D57" s="86">
        <f>$E$43</f>
        <v>2.6278201590650863</v>
      </c>
      <c r="E57" s="90" t="s">
        <v>22</v>
      </c>
      <c r="F57" s="91">
        <f>((C57-0.2*D57)^2)/(C57+0.8*D57)</f>
        <v>3.0794987936711427</v>
      </c>
      <c r="G57" s="75" t="s">
        <v>85</v>
      </c>
      <c r="H57" s="82"/>
    </row>
    <row r="58" spans="1:22" x14ac:dyDescent="0.2">
      <c r="B58" s="90">
        <v>25</v>
      </c>
      <c r="C58" s="86">
        <f>F37</f>
        <v>6.4</v>
      </c>
      <c r="D58" s="86">
        <f>$E$43</f>
        <v>2.6278201590650863</v>
      </c>
      <c r="E58" s="90" t="s">
        <v>22</v>
      </c>
      <c r="F58" s="91">
        <f>(C58-0.2*D58)^2/(C58+0.8*D58)</f>
        <v>4.0588047957903912</v>
      </c>
      <c r="G58" s="75" t="s">
        <v>85</v>
      </c>
      <c r="H58" s="82"/>
    </row>
    <row r="59" spans="1:22" x14ac:dyDescent="0.2">
      <c r="B59" s="90">
        <v>50</v>
      </c>
      <c r="C59" s="86">
        <f>F38</f>
        <v>7.3</v>
      </c>
      <c r="D59" s="86">
        <f>$E$43</f>
        <v>2.6278201590650863</v>
      </c>
      <c r="E59" s="90" t="s">
        <v>22</v>
      </c>
      <c r="F59" s="91">
        <f>(C59-0.2*D59)^2/(C59+0.8*D59)</f>
        <v>4.8810606801112861</v>
      </c>
      <c r="G59" s="75" t="s">
        <v>85</v>
      </c>
      <c r="H59" s="82"/>
    </row>
    <row r="60" spans="1:22" x14ac:dyDescent="0.2">
      <c r="B60" s="90">
        <v>100</v>
      </c>
      <c r="C60" s="86">
        <f>F39</f>
        <v>8.3000000000000007</v>
      </c>
      <c r="D60" s="86">
        <f>$E$43</f>
        <v>2.6278201590650863</v>
      </c>
      <c r="E60" s="90" t="s">
        <v>22</v>
      </c>
      <c r="F60" s="91">
        <f>(C60-0.2*D60)^2/(C60+0.8*D60)</f>
        <v>5.8104562975614984</v>
      </c>
      <c r="G60" s="75" t="s">
        <v>85</v>
      </c>
      <c r="H60" s="82"/>
    </row>
    <row r="62" spans="1:22" ht="12" customHeight="1" x14ac:dyDescent="0.3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93" t="s">
        <v>126</v>
      </c>
      <c r="L64" s="193"/>
      <c r="M64" s="193"/>
      <c r="N64" s="193" t="s">
        <v>127</v>
      </c>
      <c r="O64" s="193"/>
      <c r="P64" s="193"/>
      <c r="Q64" s="193" t="s">
        <v>128</v>
      </c>
      <c r="R64" s="193"/>
      <c r="S64" s="193"/>
      <c r="T64" s="193" t="s">
        <v>129</v>
      </c>
      <c r="U64" s="193"/>
      <c r="V64" s="193"/>
    </row>
    <row r="65" spans="1:22" ht="24.6" x14ac:dyDescent="0.3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3.2" x14ac:dyDescent="0.25">
      <c r="A66" s="76"/>
      <c r="B66" s="90">
        <v>2</v>
      </c>
      <c r="C66" s="86">
        <f>F35</f>
        <v>3.6</v>
      </c>
      <c r="D66" s="86">
        <f>$E$45</f>
        <v>0.52556403181301725</v>
      </c>
      <c r="E66" s="86">
        <f>IF(D66/C66&gt;0.5,0.5,D66/C66)</f>
        <v>0.14599000883694924</v>
      </c>
      <c r="F66" s="91">
        <f>IF($A$63='Rainfall Distribution Coef.'!$K$2,10^(K66+(L66*LOG($E$28))+(M66*(LOG($E$28))^2)),IF($A$63='Rainfall Distribution Coef.'!$K$3,10^(N66+(O66*LOG($E$28))+(P66*(LOG($E$28))^2)),IF($A$63='Rainfall Distribution Coef.'!$K$4,10^(Q66+(R66*LOG($E$28))+(S66*(LOG($E$28))^2)),IF($A$63='Rainfall Distribution Coef.'!$K$5,10^(T66+(U66*LOG($E$28))+(V66*(LOG($E$28))^2)),"UPDATE"))))</f>
        <v>275.44498875149469</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2.2732472068026475</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-0.50949784107918994</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-0.10452621850709662</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1.9806600620389909</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-0.30034056502371548</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-0.10653792205450055</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2.5330150916157192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-0.61683312782917632</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-0.15311657090299194</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2.4554891411026349</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-0.51699452271456658</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-0.16200451730418947</v>
      </c>
    </row>
    <row r="67" spans="1:22" ht="13.2" x14ac:dyDescent="0.25">
      <c r="B67" s="90">
        <v>10</v>
      </c>
      <c r="C67" s="86">
        <f>F36</f>
        <v>5.3</v>
      </c>
      <c r="D67" s="86">
        <f>$E$45</f>
        <v>0.52556403181301725</v>
      </c>
      <c r="E67" s="86">
        <f>IF(D67/C67&gt;0.5,0.5,D67/C67)</f>
        <v>9.9163024870380617E-2</v>
      </c>
      <c r="F67" s="91">
        <f>IF($A$63='Rainfall Distribution Coef.'!$K$2,10^(K67+(L67*LOG($E$28))+(M67*(LOG($E$28))^2)),IF($A$63='Rainfall Distribution Coef.'!$K$3,10^(N67+(O67*LOG($E$28))+(P67*(LOG($E$28))^2)),IF($A$63='Rainfall Distribution Coef.'!$K$4,10^(Q67+(R67*LOG($E$28))+(S67*(LOG($E$28))^2)),IF($A$63='Rainfall Distribution Coef.'!$K$5,10^(T67+(U67*LOG($E$28))+(V67*(LOG($E$28))^2)),"UPDATE"))))</f>
        <v>288.58119486111423</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2.3054999999999999</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-0.51429000000000002</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-0.11749999999999999</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2.0325000000000002</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-0.31583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-0.13747999999999999</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2.5532300000000001</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-0.61512</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-0.16403000000000001</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2.4731700000000001</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-0.51848000000000005</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-0.17083000000000001</v>
      </c>
    </row>
    <row r="68" spans="1:22" ht="12.75" customHeight="1" x14ac:dyDescent="0.25">
      <c r="A68" s="92"/>
      <c r="B68" s="90">
        <v>25</v>
      </c>
      <c r="C68" s="86">
        <f>F37</f>
        <v>6.4</v>
      </c>
      <c r="D68" s="86">
        <f>$E$45</f>
        <v>0.52556403181301725</v>
      </c>
      <c r="E68" s="86">
        <f>IF(D68/C68&gt;0.5,0.5,D68/C68)</f>
        <v>8.2119379970783946E-2</v>
      </c>
      <c r="F68" s="91">
        <f>IF($A$63='Rainfall Distribution Coef.'!$K$2,10^(K68+(L68*LOG($E$28))+(M68*(LOG($E$28))^2)),IF($A$63='Rainfall Distribution Coef.'!$K$3,10^(N68+(O68*LOG($E$28))+(P68*(LOG($E$28))^2)),IF($A$63='Rainfall Distribution Coef.'!$K$4,10^(Q68+(R68*LOG($E$28))+(S68*(LOG($E$28))^2)),IF($A$63='Rainfall Distribution Coef.'!$K$5,10^(T68+(U68*LOG($E$28))+(V68*(LOG($E$28))^2)),"UPDATE"))))</f>
        <v>288.58119486111423</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2.3054999999999999</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-0.51429000000000002</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-0.11749999999999999</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2.0325000000000002</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-0.31583</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-0.13747999999999999</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2.5532300000000001</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-0.61512</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-0.16403000000000001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2.4731700000000001</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-0.51848000000000005</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-0.17083000000000001</v>
      </c>
    </row>
    <row r="69" spans="1:22" ht="13.2" x14ac:dyDescent="0.25">
      <c r="B69" s="90">
        <v>50</v>
      </c>
      <c r="C69" s="86">
        <f>F38</f>
        <v>7.3</v>
      </c>
      <c r="D69" s="86">
        <f>$E$45</f>
        <v>0.52556403181301725</v>
      </c>
      <c r="E69" s="86">
        <f>IF(D69/C69&gt;0.5,0.5,D69/C69)</f>
        <v>7.1995072851098255E-2</v>
      </c>
      <c r="F69" s="91">
        <f>IF($A$63='Rainfall Distribution Coef.'!$K$2,10^(K69+(L69*LOG($E$28))+(M69*(LOG($E$28))^2)),IF($A$63='Rainfall Distribution Coef.'!$K$3,10^(N69+(O69*LOG($E$28))+(P69*(LOG($E$28))^2)),IF($A$63='Rainfall Distribution Coef.'!$K$4,10^(Q69+(R69*LOG($E$28))+(S69*(LOG($E$28))^2)),IF($A$63='Rainfall Distribution Coef.'!$K$5,10^(T69+(U69*LOG($E$28))+(V69*(LOG($E$28))^2)),"UPDATE"))))</f>
        <v>288.58119486111423</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2.3054999999999999</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-0.51429000000000002</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-0.11749999999999999</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2.0325000000000002</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-0.31583</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-0.13747999999999999</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2.5532300000000001</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-0.61512</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-0.16403000000000001</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2.4731700000000001</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-0.51848000000000005</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-0.17083000000000001</v>
      </c>
    </row>
    <row r="70" spans="1:22" ht="13.2" x14ac:dyDescent="0.25">
      <c r="B70" s="90">
        <v>100</v>
      </c>
      <c r="C70" s="86">
        <f>F39</f>
        <v>8.3000000000000007</v>
      </c>
      <c r="D70" s="86">
        <f>$E$45</f>
        <v>0.52556403181301725</v>
      </c>
      <c r="E70" s="86">
        <f>IF(D70/C70&gt;0.5,0.5,D70/C70)</f>
        <v>6.3320967688315327E-2</v>
      </c>
      <c r="F70" s="91">
        <f>IF($A$63='Rainfall Distribution Coef.'!$K$2,10^(K70+(L70*LOG($E$28))+(M70*(LOG($E$28))^2)),IF($A$63='Rainfall Distribution Coef.'!$K$3,10^(N70+(O70*LOG($E$28))+(P70*(LOG($E$28))^2)),IF($A$63='Rainfall Distribution Coef.'!$K$4,10^(Q70+(R70*LOG($E$28))+(S70*(LOG($E$28))^2)),IF($A$63='Rainfall Distribution Coef.'!$K$5,10^(T70+(U70*LOG($E$28))+(V70*(LOG($E$28))^2)),"UPDATE"))))</f>
        <v>288.58119486111423</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2.3054999999999999</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-0.51429000000000002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-0.11749999999999999</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2.0325000000000002</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-0.31583</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-0.13747999999999999</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2.5532300000000001</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-0.61512</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-0.16403000000000001</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2.4731700000000001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-0.51848000000000005</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-0.17083000000000001</v>
      </c>
    </row>
    <row r="71" spans="1:22" x14ac:dyDescent="0.2">
      <c r="E71" s="91"/>
    </row>
    <row r="72" spans="1:22" x14ac:dyDescent="0.2">
      <c r="A72" s="83" t="s">
        <v>90</v>
      </c>
      <c r="B72" s="83"/>
      <c r="C72" s="83"/>
    </row>
    <row r="73" spans="1:22" ht="12" customHeight="1" x14ac:dyDescent="0.2"/>
    <row r="74" spans="1:22" ht="15" x14ac:dyDescent="0.35">
      <c r="B74" s="172">
        <v>0</v>
      </c>
      <c r="C74" s="75" t="s">
        <v>91</v>
      </c>
      <c r="D74" s="96">
        <f>B74/D9</f>
        <v>0</v>
      </c>
      <c r="E74" s="97" t="s">
        <v>102</v>
      </c>
      <c r="F74" s="173">
        <v>1</v>
      </c>
    </row>
    <row r="76" spans="1:22" ht="13.2" x14ac:dyDescent="0.35">
      <c r="A76" s="197" t="s">
        <v>103</v>
      </c>
      <c r="B76" s="197"/>
      <c r="C76" s="197"/>
      <c r="D76" s="197"/>
      <c r="E76" s="197"/>
      <c r="F76" s="197"/>
      <c r="G76" s="197"/>
      <c r="H76" s="197"/>
      <c r="I76" s="197"/>
    </row>
    <row r="78" spans="1:22" ht="15" x14ac:dyDescent="0.35">
      <c r="B78" s="75" t="s">
        <v>104</v>
      </c>
    </row>
    <row r="79" spans="1:22" ht="11.25" customHeight="1" x14ac:dyDescent="0.2">
      <c r="C79" s="98"/>
      <c r="D79" s="98"/>
    </row>
    <row r="80" spans="1:22" ht="24.6" x14ac:dyDescent="0.35">
      <c r="B80" s="89" t="s">
        <v>13</v>
      </c>
      <c r="C80" s="90" t="s">
        <v>101</v>
      </c>
      <c r="D80" s="90" t="s">
        <v>105</v>
      </c>
      <c r="E80" s="90" t="s">
        <v>32</v>
      </c>
      <c r="F80" s="90" t="s">
        <v>106</v>
      </c>
      <c r="G80" s="90" t="s">
        <v>107</v>
      </c>
      <c r="H80" s="90"/>
    </row>
    <row r="81" spans="1:10" x14ac:dyDescent="0.2">
      <c r="B81" s="90">
        <v>2</v>
      </c>
      <c r="C81" s="91">
        <f>F66</f>
        <v>275.44498875149469</v>
      </c>
      <c r="D81" s="86">
        <f>$D$9/640</f>
        <v>2.4312500000000001E-2</v>
      </c>
      <c r="E81" s="91">
        <f>F56</f>
        <v>1.6576169697654126</v>
      </c>
      <c r="F81" s="99">
        <f>$F$74</f>
        <v>1</v>
      </c>
      <c r="G81" s="91">
        <f>F81*E81*D81*C81</f>
        <v>11.100656867063988</v>
      </c>
      <c r="H81" s="82" t="s">
        <v>33</v>
      </c>
    </row>
    <row r="82" spans="1:10" x14ac:dyDescent="0.2">
      <c r="B82" s="90">
        <v>10</v>
      </c>
      <c r="C82" s="91">
        <f>F67</f>
        <v>288.58119486111423</v>
      </c>
      <c r="D82" s="86">
        <f>$D$9/640</f>
        <v>2.4312500000000001E-2</v>
      </c>
      <c r="E82" s="91">
        <f>F57</f>
        <v>3.0794987936711427</v>
      </c>
      <c r="F82" s="99">
        <f>$F$74</f>
        <v>1</v>
      </c>
      <c r="G82" s="91">
        <f>F82*E82*D82*C82</f>
        <v>21.606164795276907</v>
      </c>
      <c r="H82" s="82" t="s">
        <v>33</v>
      </c>
    </row>
    <row r="83" spans="1:10" x14ac:dyDescent="0.2">
      <c r="B83" s="90">
        <v>25</v>
      </c>
      <c r="C83" s="91">
        <f>F68</f>
        <v>288.58119486111423</v>
      </c>
      <c r="D83" s="86">
        <f>$D$9/640</f>
        <v>2.4312500000000001E-2</v>
      </c>
      <c r="E83" s="91">
        <f>F58</f>
        <v>4.0588047957903912</v>
      </c>
      <c r="F83" s="99">
        <f>$F$74</f>
        <v>1</v>
      </c>
      <c r="G83" s="91">
        <f>F83*E83*D83*C83</f>
        <v>28.477103309777213</v>
      </c>
      <c r="H83" s="82" t="s">
        <v>33</v>
      </c>
    </row>
    <row r="84" spans="1:10" x14ac:dyDescent="0.2">
      <c r="B84" s="90">
        <v>50</v>
      </c>
      <c r="C84" s="91">
        <f>F69</f>
        <v>288.58119486111423</v>
      </c>
      <c r="D84" s="86">
        <f>$D$9/640</f>
        <v>2.4312500000000001E-2</v>
      </c>
      <c r="E84" s="91">
        <f>F59</f>
        <v>4.8810606801112861</v>
      </c>
      <c r="F84" s="99">
        <f>$F$74</f>
        <v>1</v>
      </c>
      <c r="G84" s="91">
        <f>F84*E84*D84*C84</f>
        <v>34.246157734164363</v>
      </c>
      <c r="H84" s="82" t="s">
        <v>33</v>
      </c>
    </row>
    <row r="85" spans="1:10" x14ac:dyDescent="0.2">
      <c r="B85" s="90">
        <v>100</v>
      </c>
      <c r="C85" s="91">
        <f>F70</f>
        <v>288.58119486111423</v>
      </c>
      <c r="D85" s="86">
        <f>$D$9/640</f>
        <v>2.4312500000000001E-2</v>
      </c>
      <c r="E85" s="91">
        <f>F60</f>
        <v>5.8104562975614984</v>
      </c>
      <c r="F85" s="99">
        <f>$F$74</f>
        <v>1</v>
      </c>
      <c r="G85" s="91">
        <f>F85*E85*D85*C85</f>
        <v>40.766918486500558</v>
      </c>
      <c r="H85" s="82" t="s">
        <v>33</v>
      </c>
    </row>
    <row r="86" spans="1:10" x14ac:dyDescent="0.2">
      <c r="B86" s="90"/>
      <c r="C86" s="91"/>
      <c r="D86" s="86"/>
      <c r="E86" s="91"/>
      <c r="F86" s="99"/>
      <c r="G86" s="91"/>
      <c r="H86" s="82"/>
    </row>
    <row r="87" spans="1:10" ht="28.5" customHeight="1" x14ac:dyDescent="0.25">
      <c r="A87" s="180" t="s">
        <v>419</v>
      </c>
      <c r="B87" s="180"/>
      <c r="C87" s="180"/>
      <c r="D87" s="180"/>
      <c r="E87" s="180"/>
      <c r="F87" s="180"/>
      <c r="G87" s="180"/>
      <c r="H87" s="180"/>
      <c r="I87" s="169"/>
      <c r="J87" s="169"/>
    </row>
    <row r="88" spans="1:10" ht="13.2" x14ac:dyDescent="0.25">
      <c r="A88" s="100"/>
      <c r="B88" s="100"/>
      <c r="C88" s="100"/>
      <c r="D88" s="100"/>
      <c r="E88" s="100"/>
      <c r="F88" s="100"/>
      <c r="G88" s="100"/>
      <c r="H88" s="100"/>
      <c r="I88" s="100"/>
      <c r="J88" s="100"/>
    </row>
    <row r="89" spans="1:10" ht="12" x14ac:dyDescent="0.25">
      <c r="A89" s="76" t="str">
        <f>A46</f>
        <v>Lexington County I-20 Widening - Outfall #5</v>
      </c>
      <c r="B89" s="76"/>
      <c r="C89" s="76"/>
      <c r="D89" s="76"/>
      <c r="E89" s="76"/>
      <c r="F89" s="76"/>
      <c r="G89" s="76"/>
      <c r="H89" s="76"/>
      <c r="I89" s="76"/>
    </row>
    <row r="90" spans="1:10" s="88" customFormat="1" ht="13.5" customHeight="1" x14ac:dyDescent="0.25">
      <c r="A90" s="88">
        <f>A47</f>
        <v>0</v>
      </c>
      <c r="B90" s="75"/>
      <c r="C90" s="75"/>
      <c r="D90" s="75"/>
      <c r="E90" s="75"/>
      <c r="F90" s="75"/>
      <c r="G90" s="75"/>
      <c r="H90" s="75"/>
      <c r="I90" s="75"/>
    </row>
    <row r="91" spans="1:10" x14ac:dyDescent="0.2">
      <c r="B91" s="91"/>
      <c r="C91" s="90"/>
      <c r="D91" s="90"/>
      <c r="E91" s="90"/>
    </row>
    <row r="92" spans="1:10" s="76" customFormat="1" ht="12" x14ac:dyDescent="0.25">
      <c r="A92" s="76" t="s">
        <v>24</v>
      </c>
      <c r="B92" s="75"/>
      <c r="C92" s="75"/>
      <c r="D92" s="75"/>
      <c r="E92" s="75"/>
      <c r="F92" s="75"/>
      <c r="G92" s="75"/>
      <c r="H92" s="75"/>
      <c r="I92" s="75"/>
    </row>
    <row r="94" spans="1:10" ht="55.5" customHeight="1" x14ac:dyDescent="0.25">
      <c r="A94" s="194" t="s">
        <v>421</v>
      </c>
      <c r="B94" s="194"/>
      <c r="C94" s="194"/>
      <c r="D94" s="194"/>
      <c r="E94" s="194"/>
      <c r="F94" s="194"/>
      <c r="G94" s="194"/>
      <c r="H94" s="194"/>
      <c r="I94" s="169"/>
      <c r="J94" s="169"/>
    </row>
    <row r="95" spans="1:10" x14ac:dyDescent="0.2">
      <c r="A95" s="83"/>
    </row>
    <row r="96" spans="1:10" s="92" customFormat="1" ht="12.75" customHeight="1" x14ac:dyDescent="0.25">
      <c r="A96" s="76" t="s">
        <v>92</v>
      </c>
      <c r="B96" s="75"/>
      <c r="C96" s="75"/>
      <c r="D96" s="75"/>
      <c r="E96" s="75"/>
      <c r="F96" s="75"/>
      <c r="G96" s="75"/>
      <c r="H96" s="75"/>
      <c r="I96" s="75"/>
    </row>
    <row r="97" spans="1:35" ht="12.75" customHeight="1" x14ac:dyDescent="0.2"/>
    <row r="98" spans="1:35" ht="12.75" customHeight="1" x14ac:dyDescent="0.2">
      <c r="A98" s="75" t="s">
        <v>1</v>
      </c>
      <c r="D98" s="111">
        <v>15.56</v>
      </c>
      <c r="E98" s="75" t="s">
        <v>114</v>
      </c>
    </row>
    <row r="99" spans="1:35" ht="12.75" customHeight="1" x14ac:dyDescent="0.2"/>
    <row r="100" spans="1:35" ht="12.75" customHeight="1" x14ac:dyDescent="0.2">
      <c r="A100" s="75" t="s">
        <v>113</v>
      </c>
      <c r="D100" s="124">
        <f>B106-B15</f>
        <v>0.8600000000000001</v>
      </c>
      <c r="E100" s="75" t="s">
        <v>115</v>
      </c>
    </row>
    <row r="101" spans="1:35" ht="12.75" customHeight="1" x14ac:dyDescent="0.2"/>
    <row r="102" spans="1:35" ht="12.75" customHeight="1" x14ac:dyDescent="0.2">
      <c r="A102" s="80" t="s">
        <v>93</v>
      </c>
      <c r="B102" s="83"/>
      <c r="C102" s="83"/>
    </row>
    <row r="103" spans="1:35" ht="12.75" customHeight="1" x14ac:dyDescent="0.2">
      <c r="A103" s="148" t="s">
        <v>361</v>
      </c>
      <c r="B103" s="143" t="s">
        <v>225</v>
      </c>
    </row>
    <row r="104" spans="1:35" ht="12.75" customHeight="1" thickBot="1" x14ac:dyDescent="0.25">
      <c r="A104" s="148"/>
    </row>
    <row r="105" spans="1:35" ht="12.75" customHeight="1" x14ac:dyDescent="0.2">
      <c r="B105" s="51" t="s">
        <v>2</v>
      </c>
      <c r="C105" s="51"/>
      <c r="D105" s="51" t="s">
        <v>79</v>
      </c>
      <c r="E105" s="192" t="s">
        <v>6</v>
      </c>
      <c r="F105" s="192"/>
      <c r="W105" s="189" t="s">
        <v>362</v>
      </c>
      <c r="X105" s="190"/>
      <c r="Y105" s="190"/>
      <c r="Z105" s="190"/>
      <c r="AA105" s="190"/>
      <c r="AB105" s="190"/>
      <c r="AC105" s="190"/>
      <c r="AD105" s="190"/>
      <c r="AE105" s="190"/>
      <c r="AF105" s="190"/>
      <c r="AG105" s="190"/>
      <c r="AH105" s="190"/>
      <c r="AI105" s="191"/>
    </row>
    <row r="106" spans="1:35" ht="12.75" customHeight="1" x14ac:dyDescent="0.2">
      <c r="B106" s="111">
        <v>2.6</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92</v>
      </c>
      <c r="E106" s="182" t="s">
        <v>235</v>
      </c>
      <c r="F106" s="182"/>
      <c r="G106" s="182"/>
      <c r="W106" s="186" t="str">
        <f>IF(ISBLANK(E106),"",VLOOKUP(E106,'Curve Numbers'!$A$5:$F$93,2,FALSE))</f>
        <v xml:space="preserve">Impervious Area  </v>
      </c>
      <c r="X106" s="187"/>
      <c r="Y106" s="187"/>
      <c r="Z106" s="187"/>
      <c r="AA106" s="187"/>
      <c r="AB106" s="187"/>
      <c r="AC106" s="187"/>
      <c r="AD106" s="187"/>
      <c r="AE106" s="187"/>
      <c r="AF106" s="187"/>
      <c r="AG106" s="187"/>
      <c r="AH106" s="187"/>
      <c r="AI106" s="188"/>
    </row>
    <row r="107" spans="1:35" ht="12.75" customHeight="1" x14ac:dyDescent="0.2">
      <c r="B107" s="111">
        <v>2.34</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70</v>
      </c>
      <c r="E107" s="182" t="s">
        <v>314</v>
      </c>
      <c r="F107" s="182"/>
      <c r="G107" s="182"/>
      <c r="W107" s="186" t="str">
        <f>IF(ISBLANK(E107),"",VLOOKUP(E107,'Curve Numbers'!$A$5:$F$93,2,FALSE))</f>
        <v>Woods are protected from grazing, and litter and brush adequately cover the soil.</v>
      </c>
      <c r="X107" s="187"/>
      <c r="Y107" s="187"/>
      <c r="Z107" s="187"/>
      <c r="AA107" s="187"/>
      <c r="AB107" s="187"/>
      <c r="AC107" s="187"/>
      <c r="AD107" s="187"/>
      <c r="AE107" s="187"/>
      <c r="AF107" s="187"/>
      <c r="AG107" s="187"/>
      <c r="AH107" s="187"/>
      <c r="AI107" s="188"/>
    </row>
    <row r="108" spans="1:35" ht="12.75" customHeight="1" x14ac:dyDescent="0.2">
      <c r="B108" s="111">
        <v>9.8000000000000007</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80</v>
      </c>
      <c r="E108" s="182" t="s">
        <v>253</v>
      </c>
      <c r="F108" s="182"/>
      <c r="G108" s="182"/>
      <c r="W108" s="186" t="str">
        <f>IF(ISBLANK(E108),"",VLOOKUP(E108,'Curve Numbers'!$A$5:$F$93,2,FALSE))</f>
        <v>Average Impervious Area = 25%</v>
      </c>
      <c r="X108" s="187"/>
      <c r="Y108" s="187"/>
      <c r="Z108" s="187"/>
      <c r="AA108" s="187"/>
      <c r="AB108" s="187"/>
      <c r="AC108" s="187"/>
      <c r="AD108" s="187"/>
      <c r="AE108" s="187"/>
      <c r="AF108" s="187"/>
      <c r="AG108" s="187"/>
      <c r="AH108" s="187"/>
      <c r="AI108" s="188"/>
    </row>
    <row r="109" spans="1:35" ht="12.75" customHeight="1" x14ac:dyDescent="0.2">
      <c r="B109" s="111">
        <v>0.82</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74</v>
      </c>
      <c r="E109" s="182" t="s">
        <v>231</v>
      </c>
      <c r="F109" s="182"/>
      <c r="G109" s="182"/>
      <c r="W109" s="186" t="str">
        <f>IF(ISBLANK(E109),"",VLOOKUP(E109,'Curve Numbers'!$A$5:$F$93,2,FALSE))</f>
        <v>Grass Cover &gt; 75%</v>
      </c>
      <c r="X109" s="187"/>
      <c r="Y109" s="187"/>
      <c r="Z109" s="187"/>
      <c r="AA109" s="187"/>
      <c r="AB109" s="187"/>
      <c r="AC109" s="187"/>
      <c r="AD109" s="187"/>
      <c r="AE109" s="187"/>
      <c r="AF109" s="187"/>
      <c r="AG109" s="187"/>
      <c r="AH109" s="187"/>
      <c r="AI109" s="188"/>
    </row>
    <row r="110" spans="1:35" ht="12.75" customHeight="1" x14ac:dyDescent="0.2">
      <c r="B110" s="111">
        <v>0</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74</v>
      </c>
      <c r="E110" s="182" t="s">
        <v>231</v>
      </c>
      <c r="F110" s="182"/>
      <c r="G110" s="182"/>
      <c r="W110" s="186" t="str">
        <f>IF(ISBLANK(E110),"",VLOOKUP(E110,'Curve Numbers'!$A$5:$F$93,2,FALSE))</f>
        <v>Grass Cover &gt; 75%</v>
      </c>
      <c r="X110" s="187"/>
      <c r="Y110" s="187"/>
      <c r="Z110" s="187"/>
      <c r="AA110" s="187"/>
      <c r="AB110" s="187"/>
      <c r="AC110" s="187"/>
      <c r="AD110" s="187"/>
      <c r="AE110" s="187"/>
      <c r="AF110" s="187"/>
      <c r="AG110" s="187"/>
      <c r="AH110" s="187"/>
      <c r="AI110" s="188"/>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2"/>
      <c r="F111" s="182"/>
      <c r="G111" s="182"/>
      <c r="W111" s="186" t="str">
        <f>IF(ISBLANK(E111),"",VLOOKUP(E111,'Curve Numbers'!$A$5:$F$93,2,FALSE))</f>
        <v/>
      </c>
      <c r="X111" s="187"/>
      <c r="Y111" s="187"/>
      <c r="Z111" s="187"/>
      <c r="AA111" s="187"/>
      <c r="AB111" s="187"/>
      <c r="AC111" s="187"/>
      <c r="AD111" s="187"/>
      <c r="AE111" s="187"/>
      <c r="AF111" s="187"/>
      <c r="AG111" s="187"/>
      <c r="AH111" s="187"/>
      <c r="AI111" s="188"/>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2"/>
      <c r="F112" s="182"/>
      <c r="G112" s="182"/>
      <c r="W112" s="186" t="str">
        <f>IF(ISBLANK(E112),"",VLOOKUP(E112,'Curve Numbers'!$A$5:$F$93,2,FALSE))</f>
        <v/>
      </c>
      <c r="X112" s="187"/>
      <c r="Y112" s="187"/>
      <c r="Z112" s="187"/>
      <c r="AA112" s="187"/>
      <c r="AB112" s="187"/>
      <c r="AC112" s="187"/>
      <c r="AD112" s="187"/>
      <c r="AE112" s="187"/>
      <c r="AF112" s="187"/>
      <c r="AG112" s="187"/>
      <c r="AH112" s="187"/>
      <c r="AI112" s="188"/>
    </row>
    <row r="113" spans="1:35" ht="12"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2"/>
      <c r="F113" s="182"/>
      <c r="G113" s="182"/>
      <c r="W113" s="183" t="str">
        <f>IF(ISBLANK(E113),"",VLOOKUP(E113,'Curve Numbers'!$A$5:$F$93,2,FALSE))</f>
        <v/>
      </c>
      <c r="X113" s="184"/>
      <c r="Y113" s="184"/>
      <c r="Z113" s="184"/>
      <c r="AA113" s="184"/>
      <c r="AB113" s="184"/>
      <c r="AC113" s="184"/>
      <c r="AD113" s="184"/>
      <c r="AE113" s="184"/>
      <c r="AF113" s="184"/>
      <c r="AG113" s="184"/>
      <c r="AH113" s="184"/>
      <c r="AI113" s="185"/>
    </row>
    <row r="114" spans="1:35" x14ac:dyDescent="0.2">
      <c r="B114" s="79"/>
      <c r="C114" s="51"/>
      <c r="D114" s="79"/>
      <c r="E114" s="51"/>
      <c r="F114" s="51"/>
    </row>
    <row r="115" spans="1:35" x14ac:dyDescent="0.2">
      <c r="E115" s="75" t="s">
        <v>81</v>
      </c>
      <c r="G115" s="82">
        <f>((B106*D106)+(B107*D107)+(B108*D108)+(B113*D113)+(B112*D112)+(B109*D109)+(B110*D110)+(B111*D111))/(D98)</f>
        <v>80.185089974293064</v>
      </c>
    </row>
    <row r="117" spans="1:35" ht="15" x14ac:dyDescent="0.35">
      <c r="A117" s="83" t="s">
        <v>94</v>
      </c>
      <c r="B117" s="83"/>
      <c r="C117" s="83"/>
    </row>
    <row r="118" spans="1:35" ht="14.25" customHeight="1" x14ac:dyDescent="0.2"/>
    <row r="119" spans="1:35" ht="15" x14ac:dyDescent="0.35">
      <c r="B119" s="75" t="s">
        <v>95</v>
      </c>
      <c r="E119" s="84">
        <f>IF('tc-pre'!E1="Yes",'tc-pre'!D48,IF('tc-pre'!E1="No",'tc-post'!D47,"Update"))</f>
        <v>1.3979257150990192</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6" t="str">
        <f>B32</f>
        <v>Lexington, SC</v>
      </c>
      <c r="C123" s="196"/>
      <c r="D123" s="196"/>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5" x14ac:dyDescent="0.35">
      <c r="A132" s="83" t="s">
        <v>96</v>
      </c>
    </row>
    <row r="134" spans="1:9" x14ac:dyDescent="0.2">
      <c r="C134" s="75" t="s">
        <v>84</v>
      </c>
      <c r="E134" s="87">
        <f>1000/G115-10</f>
        <v>2.4711464478071292</v>
      </c>
      <c r="F134" s="75" t="s">
        <v>85</v>
      </c>
    </row>
    <row r="136" spans="1:9" ht="15" x14ac:dyDescent="0.35">
      <c r="C136" s="75" t="s">
        <v>97</v>
      </c>
      <c r="E136" s="87">
        <f>0.2*E134</f>
        <v>0.49422928956142587</v>
      </c>
      <c r="F136" s="75" t="s">
        <v>85</v>
      </c>
    </row>
    <row r="137" spans="1:9" s="76" customFormat="1" ht="12" x14ac:dyDescent="0.25">
      <c r="A137" s="76" t="str">
        <f>A2</f>
        <v>Lexington County I-20 Widening - Outfall #5</v>
      </c>
    </row>
    <row r="138" spans="1:9" ht="12" x14ac:dyDescent="0.25">
      <c r="A138" s="101">
        <f>A3</f>
        <v>0</v>
      </c>
      <c r="B138" s="77"/>
      <c r="C138" s="77"/>
      <c r="D138" s="77"/>
      <c r="E138" s="77"/>
      <c r="F138" s="77"/>
    </row>
    <row r="140" spans="1:9" ht="12" x14ac:dyDescent="0.25">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2" x14ac:dyDescent="0.2">
      <c r="A144" s="83"/>
      <c r="B144" s="75" t="s">
        <v>98</v>
      </c>
    </row>
    <row r="146" spans="1:22" ht="22.8" x14ac:dyDescent="0.2">
      <c r="B146" s="89" t="s">
        <v>13</v>
      </c>
      <c r="C146" s="90" t="s">
        <v>87</v>
      </c>
      <c r="D146" s="90" t="s">
        <v>88</v>
      </c>
      <c r="E146" s="90" t="s">
        <v>22</v>
      </c>
      <c r="F146" s="90" t="s">
        <v>32</v>
      </c>
      <c r="H146" s="90"/>
    </row>
    <row r="147" spans="1:22" x14ac:dyDescent="0.2">
      <c r="B147" s="90">
        <v>2</v>
      </c>
      <c r="C147" s="86">
        <f>F126</f>
        <v>3.6</v>
      </c>
      <c r="D147" s="86">
        <f>$E$134</f>
        <v>2.4711464478071292</v>
      </c>
      <c r="E147" s="90" t="s">
        <v>22</v>
      </c>
      <c r="F147" s="91">
        <f>((C147-0.2*D147)^2)/(C147+0.8*D147)</f>
        <v>1.729595658697636</v>
      </c>
      <c r="G147" s="75" t="s">
        <v>85</v>
      </c>
      <c r="H147" s="82"/>
    </row>
    <row r="148" spans="1:22" x14ac:dyDescent="0.2">
      <c r="B148" s="90">
        <v>10</v>
      </c>
      <c r="C148" s="86">
        <f>F127</f>
        <v>5.3</v>
      </c>
      <c r="D148" s="86">
        <f>$E$134</f>
        <v>2.4711464478071292</v>
      </c>
      <c r="E148" s="90" t="s">
        <v>22</v>
      </c>
      <c r="F148" s="91">
        <f>((C148-0.2*D148)^2)/(C148+0.8*D148)</f>
        <v>3.1737934648794388</v>
      </c>
      <c r="G148" s="75" t="s">
        <v>85</v>
      </c>
      <c r="H148" s="82"/>
    </row>
    <row r="149" spans="1:22" x14ac:dyDescent="0.2">
      <c r="B149" s="90">
        <v>25</v>
      </c>
      <c r="C149" s="86">
        <f>F128</f>
        <v>6.4</v>
      </c>
      <c r="D149" s="86">
        <f>$E$134</f>
        <v>2.4711464478071292</v>
      </c>
      <c r="E149" s="90" t="s">
        <v>22</v>
      </c>
      <c r="F149" s="91">
        <f>(C149-0.2*D149)^2/(C149+0.8*D149)</f>
        <v>4.1635994513736279</v>
      </c>
      <c r="G149" s="75" t="s">
        <v>85</v>
      </c>
      <c r="H149" s="82"/>
    </row>
    <row r="150" spans="1:22" x14ac:dyDescent="0.2">
      <c r="B150" s="90">
        <v>50</v>
      </c>
      <c r="C150" s="86">
        <f>F129</f>
        <v>7.3</v>
      </c>
      <c r="D150" s="86">
        <f>$E$134</f>
        <v>2.4711464478071292</v>
      </c>
      <c r="E150" s="90" t="s">
        <v>22</v>
      </c>
      <c r="F150" s="91">
        <f>(C150-0.2*D150)^2/(C150+0.8*D150)</f>
        <v>4.9928779327186055</v>
      </c>
      <c r="G150" s="75" t="s">
        <v>85</v>
      </c>
      <c r="H150" s="82"/>
    </row>
    <row r="151" spans="1:22" x14ac:dyDescent="0.2">
      <c r="B151" s="90">
        <v>100</v>
      </c>
      <c r="C151" s="86">
        <f>F130</f>
        <v>8.3000000000000007</v>
      </c>
      <c r="D151" s="86">
        <f>$E$134</f>
        <v>2.4711464478071292</v>
      </c>
      <c r="E151" s="90" t="s">
        <v>22</v>
      </c>
      <c r="F151" s="91">
        <f>(C151-0.2*D151)^2/(C151+0.8*D151)</f>
        <v>5.9288262662556726</v>
      </c>
      <c r="G151" s="75" t="s">
        <v>85</v>
      </c>
      <c r="H151" s="82"/>
    </row>
    <row r="153" spans="1:22" ht="15" x14ac:dyDescent="0.3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93" t="s">
        <v>126</v>
      </c>
      <c r="L155" s="193"/>
      <c r="M155" s="193"/>
      <c r="N155" s="193" t="s">
        <v>127</v>
      </c>
      <c r="O155" s="193"/>
      <c r="P155" s="193"/>
      <c r="Q155" s="193" t="s">
        <v>128</v>
      </c>
      <c r="R155" s="193"/>
      <c r="S155" s="193"/>
      <c r="T155" s="193" t="s">
        <v>129</v>
      </c>
      <c r="U155" s="193"/>
      <c r="V155" s="193"/>
    </row>
    <row r="156" spans="1:22" ht="24.6" x14ac:dyDescent="0.3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3.2" x14ac:dyDescent="0.25">
      <c r="A157" s="76"/>
      <c r="B157" s="90">
        <v>2</v>
      </c>
      <c r="C157" s="86">
        <f>F126</f>
        <v>3.6</v>
      </c>
      <c r="D157" s="86">
        <f>$E$136</f>
        <v>0.49422928956142587</v>
      </c>
      <c r="E157" s="86">
        <f>IF(D157/C157&gt;0.5,0.5,D157/C157)</f>
        <v>0.13728591376706273</v>
      </c>
      <c r="F157" s="91">
        <f>IF($A$63='Rainfall Distribution Coef.'!$K$2,10^(K157+(L157*LOG($E$119))+(M157*(LOG($E$119))^2)),IF($A$63='Rainfall Distribution Coef.'!$K$3,10^(N157+(O157*LOG($E$119))+(P157*(LOG($E$119))^2)),IF($A$63='Rainfall Distribution Coef.'!$K$4,10^(Q157+(R157*LOG($E$119))+(S157*(LOG($E$119))^2)),IF($A$63='Rainfall Distribution Coef.'!$K$5,10^(T157+(U157*LOG($E$119))+(V157*(LOG($E$119))^2)),"UPDATE"))))</f>
        <v>277.88442970828021</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2.2793513886751589</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-0.51040480778547215</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-0.1069816437263116</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1.990471318001767</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-0.30327210424325329</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-0.1123940372175202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2.5368409766036879</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-0.61650890028782313</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-0.15518205266307603</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2.4588354304522526</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-0.51727566498532396</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-0.16367483314810066</v>
      </c>
    </row>
    <row r="158" spans="1:22" ht="13.2" x14ac:dyDescent="0.25">
      <c r="B158" s="90">
        <v>10</v>
      </c>
      <c r="C158" s="86">
        <f>F127</f>
        <v>5.3</v>
      </c>
      <c r="D158" s="86">
        <f>$E$136</f>
        <v>0.49422928956142587</v>
      </c>
      <c r="E158" s="86">
        <f>IF(D158/C158&gt;0.5,0.5,D158/C158)</f>
        <v>9.3250809351212424E-2</v>
      </c>
      <c r="F158" s="91">
        <f>IF($A$63='Rainfall Distribution Coef.'!$K$2,10^(K158+(L158*LOG($E$119))+(M158*(LOG($E$119))^2)),IF($A$63='Rainfall Distribution Coef.'!$K$3,10^(N158+(O158*LOG($E$119))+(P158*(LOG($E$119))^2)),IF($A$63='Rainfall Distribution Coef.'!$K$4,10^(Q158+(R158*LOG($E$119))+(S158*(LOG($E$119))^2)),IF($A$63='Rainfall Distribution Coef.'!$K$5,10^(T158+(U158*LOG($E$119))+(V158*(LOG($E$119))^2)),"UPDATE"))))</f>
        <v>288.58119486111423</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2.3054999999999999</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-0.51429000000000002</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-0.11749999999999999</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2.0325000000000002</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-0.31583</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-0.13747999999999999</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2.5532300000000001</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-0.61512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-0.16403000000000001</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2.4731700000000001</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-0.51848000000000005</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-0.17083000000000001</v>
      </c>
    </row>
    <row r="159" spans="1:22" ht="13.2" x14ac:dyDescent="0.25">
      <c r="A159" s="92"/>
      <c r="B159" s="90">
        <v>25</v>
      </c>
      <c r="C159" s="86">
        <f>F128</f>
        <v>6.4</v>
      </c>
      <c r="D159" s="86">
        <f>$E$136</f>
        <v>0.49422928956142587</v>
      </c>
      <c r="E159" s="86">
        <f>IF(D159/C159&gt;0.5,0.5,D159/C159)</f>
        <v>7.7223326493972788E-2</v>
      </c>
      <c r="F159" s="91">
        <f>IF($A$63='Rainfall Distribution Coef.'!$K$2,10^(K159+(L159*LOG($E$119))+(M159*(LOG($E$119))^2)),IF($A$63='Rainfall Distribution Coef.'!$K$3,10^(N159+(O159*LOG($E$119))+(P159*(LOG($E$119))^2)),IF($A$63='Rainfall Distribution Coef.'!$K$4,10^(Q159+(R159*LOG($E$119))+(S159*(LOG($E$119))^2)),IF($A$63='Rainfall Distribution Coef.'!$K$5,10^(T159+(U159*LOG($E$119))+(V159*(LOG($E$119))^2)),"UPDATE"))))</f>
        <v>288.58119486111423</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2.3054999999999999</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-0.51429000000000002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-0.11749999999999999</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2.0325000000000002</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-0.31583</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-0.13747999999999999</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2.5532300000000001</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-0.61512</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-0.16403000000000001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2.4731700000000001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-0.51848000000000005</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-0.17083000000000001</v>
      </c>
    </row>
    <row r="160" spans="1:22" ht="13.2" x14ac:dyDescent="0.25">
      <c r="B160" s="90">
        <v>50</v>
      </c>
      <c r="C160" s="86">
        <f>F129</f>
        <v>7.3</v>
      </c>
      <c r="D160" s="86">
        <f>$E$136</f>
        <v>0.49422928956142587</v>
      </c>
      <c r="E160" s="86">
        <f>IF(D160/C160&gt;0.5,0.5,D160/C160)</f>
        <v>6.7702642405674779E-2</v>
      </c>
      <c r="F160" s="91">
        <f>IF($A$63='Rainfall Distribution Coef.'!$K$2,10^(K160+(L160*LOG($E$119))+(M160*(LOG($E$119))^2)),IF($A$63='Rainfall Distribution Coef.'!$K$3,10^(N160+(O160*LOG($E$119))+(P160*(LOG($E$119))^2)),IF($A$63='Rainfall Distribution Coef.'!$K$4,10^(Q160+(R160*LOG($E$119))+(S160*(LOG($E$119))^2)),IF($A$63='Rainfall Distribution Coef.'!$K$5,10^(T160+(U160*LOG($E$119))+(V160*(LOG($E$119))^2)),"UPDATE"))))</f>
        <v>288.58119486111423</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2.3054999999999999</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-0.51429000000000002</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-0.11749999999999999</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2.0325000000000002</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-0.31583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-0.13747999999999999</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2.5532300000000001</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-0.61512</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-0.16403000000000001</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2.4731700000000001</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-0.51848000000000005</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-0.17083000000000001</v>
      </c>
    </row>
    <row r="161" spans="1:22" ht="13.2" x14ac:dyDescent="0.25">
      <c r="B161" s="90">
        <v>100</v>
      </c>
      <c r="C161" s="86">
        <f>F130</f>
        <v>8.3000000000000007</v>
      </c>
      <c r="D161" s="86">
        <f>$E$136</f>
        <v>0.49422928956142587</v>
      </c>
      <c r="E161" s="86">
        <f>IF(D161/C161&gt;0.5,0.5,D161/C161)</f>
        <v>5.9545697537521182E-2</v>
      </c>
      <c r="F161" s="91">
        <f>IF($A$63='Rainfall Distribution Coef.'!$K$2,10^(K161+(L161*LOG($E$119))+(M161*(LOG($E$119))^2)),IF($A$63='Rainfall Distribution Coef.'!$K$3,10^(N161+(O161*LOG($E$119))+(P161*(LOG($E$119))^2)),IF($A$63='Rainfall Distribution Coef.'!$K$4,10^(Q161+(R161*LOG($E$119))+(S161*(LOG($E$119))^2)),IF($A$63='Rainfall Distribution Coef.'!$K$5,10^(T161+(U161*LOG($E$119))+(V161*(LOG($E$119))^2)),"UPDATE"))))</f>
        <v>288.58119486111423</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2.3054999999999999</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-0.51429000000000002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-0.11749999999999999</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2.0325000000000002</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-0.31583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-0.13747999999999999</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2.5532300000000001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-0.16403000000000001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2.4731700000000001</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-0.51848000000000005</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-0.17083000000000001</v>
      </c>
    </row>
    <row r="162" spans="1:22" x14ac:dyDescent="0.2">
      <c r="E162" s="91"/>
    </row>
    <row r="163" spans="1:22" x14ac:dyDescent="0.2">
      <c r="A163" s="83" t="s">
        <v>90</v>
      </c>
      <c r="B163" s="83"/>
      <c r="C163" s="83"/>
    </row>
    <row r="164" spans="1:22" x14ac:dyDescent="0.2">
      <c r="F164" s="77"/>
    </row>
    <row r="165" spans="1:22" ht="15" x14ac:dyDescent="0.35">
      <c r="B165" s="113">
        <v>0</v>
      </c>
      <c r="C165" s="75" t="s">
        <v>91</v>
      </c>
      <c r="D165" s="96">
        <f>B165/D98</f>
        <v>0</v>
      </c>
      <c r="E165" s="97" t="s">
        <v>102</v>
      </c>
      <c r="F165" s="114">
        <v>1</v>
      </c>
    </row>
    <row r="167" spans="1:22" ht="12.75" customHeight="1" x14ac:dyDescent="0.35">
      <c r="A167" s="103" t="s">
        <v>103</v>
      </c>
      <c r="B167" s="103"/>
      <c r="C167" s="103"/>
      <c r="D167" s="103"/>
      <c r="E167" s="103"/>
      <c r="F167" s="103"/>
      <c r="G167" s="103"/>
      <c r="H167" s="103"/>
      <c r="I167" s="103"/>
    </row>
    <row r="169" spans="1:22" ht="15" x14ac:dyDescent="0.35">
      <c r="B169" s="75" t="s">
        <v>104</v>
      </c>
    </row>
    <row r="170" spans="1:22" x14ac:dyDescent="0.2">
      <c r="C170" s="98"/>
      <c r="D170" s="98"/>
    </row>
    <row r="171" spans="1:22" ht="24.6" x14ac:dyDescent="0.35">
      <c r="B171" s="89" t="s">
        <v>13</v>
      </c>
      <c r="C171" s="90" t="s">
        <v>101</v>
      </c>
      <c r="D171" s="90" t="s">
        <v>105</v>
      </c>
      <c r="E171" s="90" t="s">
        <v>32</v>
      </c>
      <c r="F171" s="90" t="s">
        <v>106</v>
      </c>
      <c r="G171" s="90" t="s">
        <v>107</v>
      </c>
      <c r="H171" s="90"/>
    </row>
    <row r="172" spans="1:22" x14ac:dyDescent="0.2">
      <c r="B172" s="90">
        <v>2</v>
      </c>
      <c r="C172" s="91">
        <f>F157</f>
        <v>277.88442970828021</v>
      </c>
      <c r="D172" s="86">
        <f>$D$98/640</f>
        <v>2.4312500000000001E-2</v>
      </c>
      <c r="E172" s="91">
        <f>F147</f>
        <v>1.729595658697636</v>
      </c>
      <c r="F172" s="99">
        <f>$F$165</f>
        <v>1</v>
      </c>
      <c r="G172" s="91">
        <f>F172*E172*D172*C172</f>
        <v>11.685261035098108</v>
      </c>
      <c r="H172" s="82" t="s">
        <v>33</v>
      </c>
    </row>
    <row r="173" spans="1:22" x14ac:dyDescent="0.2">
      <c r="B173" s="90">
        <v>10</v>
      </c>
      <c r="C173" s="91">
        <f>F158</f>
        <v>288.58119486111423</v>
      </c>
      <c r="D173" s="86">
        <f>$D$98/640</f>
        <v>2.4312500000000001E-2</v>
      </c>
      <c r="E173" s="91">
        <f>F148</f>
        <v>3.1737934648794388</v>
      </c>
      <c r="F173" s="99">
        <f>$F$165</f>
        <v>1</v>
      </c>
      <c r="G173" s="91">
        <f>F173*E173*D173*C173</f>
        <v>22.267748495075708</v>
      </c>
      <c r="H173" s="82" t="s">
        <v>33</v>
      </c>
    </row>
    <row r="174" spans="1:22" x14ac:dyDescent="0.2">
      <c r="B174" s="90">
        <v>25</v>
      </c>
      <c r="C174" s="91">
        <f>F159</f>
        <v>288.58119486111423</v>
      </c>
      <c r="D174" s="86">
        <f>$D$98/640</f>
        <v>2.4312500000000001E-2</v>
      </c>
      <c r="E174" s="91">
        <f>F149</f>
        <v>4.1635994513736279</v>
      </c>
      <c r="F174" s="99">
        <f>$F$165</f>
        <v>1</v>
      </c>
      <c r="G174" s="91">
        <f>F174*E174*D174*C174</f>
        <v>29.212356268099199</v>
      </c>
      <c r="H174" s="82" t="s">
        <v>33</v>
      </c>
    </row>
    <row r="175" spans="1:22" x14ac:dyDescent="0.2">
      <c r="B175" s="90">
        <v>50</v>
      </c>
      <c r="C175" s="91">
        <f>F160</f>
        <v>288.58119486111423</v>
      </c>
      <c r="D175" s="86">
        <f>$D$98/640</f>
        <v>2.4312500000000001E-2</v>
      </c>
      <c r="E175" s="91">
        <f>F150</f>
        <v>4.9928779327186055</v>
      </c>
      <c r="F175" s="99">
        <f>$F$165</f>
        <v>1</v>
      </c>
      <c r="G175" s="91">
        <f>F175*E175*D175*C175</f>
        <v>35.030682148252133</v>
      </c>
      <c r="H175" s="82" t="s">
        <v>33</v>
      </c>
    </row>
    <row r="176" spans="1:22" x14ac:dyDescent="0.2">
      <c r="B176" s="90">
        <v>100</v>
      </c>
      <c r="C176" s="91">
        <f>F161</f>
        <v>288.58119486111423</v>
      </c>
      <c r="D176" s="86">
        <f>$D$98/640</f>
        <v>2.4312500000000001E-2</v>
      </c>
      <c r="E176" s="91">
        <f>F151</f>
        <v>5.9288262662556726</v>
      </c>
      <c r="F176" s="99">
        <f>$F$165</f>
        <v>1</v>
      </c>
      <c r="G176" s="91">
        <f>F176*E176*D176*C176</f>
        <v>41.597417610472995</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6" x14ac:dyDescent="0.35">
      <c r="A180" s="77"/>
      <c r="B180" s="104" t="s">
        <v>13</v>
      </c>
      <c r="C180" s="51" t="s">
        <v>109</v>
      </c>
      <c r="D180" s="51" t="s">
        <v>110</v>
      </c>
      <c r="E180" s="51" t="s">
        <v>111</v>
      </c>
      <c r="F180" s="51" t="s">
        <v>31</v>
      </c>
    </row>
    <row r="181" spans="1:10" x14ac:dyDescent="0.2">
      <c r="A181" s="77"/>
      <c r="B181" s="51">
        <v>2</v>
      </c>
      <c r="C181" s="105">
        <f>G81</f>
        <v>11.100656867063988</v>
      </c>
      <c r="D181" s="105">
        <f>G172</f>
        <v>11.685261035098108</v>
      </c>
      <c r="E181" s="79">
        <f>D181-C181</f>
        <v>0.58460416803412052</v>
      </c>
      <c r="F181" s="106">
        <f>E181/D181</f>
        <v>5.0029192011902049E-2</v>
      </c>
    </row>
    <row r="182" spans="1:10" x14ac:dyDescent="0.2">
      <c r="A182" s="77"/>
      <c r="B182" s="51">
        <v>10</v>
      </c>
      <c r="C182" s="105">
        <f>G82</f>
        <v>21.606164795276907</v>
      </c>
      <c r="D182" s="105">
        <f>G173</f>
        <v>22.267748495075708</v>
      </c>
      <c r="E182" s="79">
        <f>D182-C182</f>
        <v>0.6615836997988005</v>
      </c>
      <c r="F182" s="106">
        <f>E182/C182</f>
        <v>3.062013578381214E-2</v>
      </c>
    </row>
    <row r="183" spans="1:10" x14ac:dyDescent="0.2">
      <c r="A183" s="77"/>
      <c r="B183" s="175">
        <v>25</v>
      </c>
      <c r="C183" s="105">
        <f>G83</f>
        <v>28.477103309777213</v>
      </c>
      <c r="D183" s="105">
        <f>G174</f>
        <v>29.212356268099199</v>
      </c>
      <c r="E183" s="79">
        <f t="shared" ref="E183:E185" si="0">D183-C183</f>
        <v>0.73525295832198623</v>
      </c>
      <c r="F183" s="106">
        <f t="shared" ref="F183:F185" si="1">E183/C183</f>
        <v>2.5819092283502987E-2</v>
      </c>
    </row>
    <row r="184" spans="1:10" x14ac:dyDescent="0.2">
      <c r="A184" s="77"/>
      <c r="B184" s="175">
        <v>50</v>
      </c>
      <c r="C184" s="105">
        <f>G84</f>
        <v>34.246157734164363</v>
      </c>
      <c r="D184" s="105">
        <f>G175</f>
        <v>35.030682148252133</v>
      </c>
      <c r="E184" s="79">
        <f t="shared" si="0"/>
        <v>0.78452441408776963</v>
      </c>
      <c r="F184" s="106">
        <f t="shared" si="1"/>
        <v>2.2908392240018186E-2</v>
      </c>
    </row>
    <row r="185" spans="1:10" x14ac:dyDescent="0.2">
      <c r="A185" s="77"/>
      <c r="B185" s="51">
        <v>100</v>
      </c>
      <c r="C185" s="105">
        <f>G85</f>
        <v>40.766918486500558</v>
      </c>
      <c r="D185" s="105">
        <f>G176</f>
        <v>41.597417610472995</v>
      </c>
      <c r="E185" s="79">
        <f t="shared" si="0"/>
        <v>0.8304991239724373</v>
      </c>
      <c r="F185" s="106">
        <f t="shared" si="1"/>
        <v>2.0371888649063492E-2</v>
      </c>
    </row>
    <row r="186" spans="1:10" ht="69" customHeight="1" x14ac:dyDescent="0.25">
      <c r="A186" s="194" t="s">
        <v>422</v>
      </c>
      <c r="B186" s="194"/>
      <c r="C186" s="194"/>
      <c r="D186" s="194"/>
      <c r="E186" s="194"/>
      <c r="F186" s="194"/>
      <c r="G186" s="194"/>
      <c r="H186" s="194"/>
      <c r="I186" s="167"/>
      <c r="J186" s="167"/>
    </row>
  </sheetData>
  <sheetProtection formatRows="0"/>
  <dataConsolidate/>
  <mergeCells count="51">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T155:V155"/>
    <mergeCell ref="E112:G112"/>
    <mergeCell ref="E108:G108"/>
    <mergeCell ref="E113:G113"/>
    <mergeCell ref="E111:G111"/>
    <mergeCell ref="E110:G110"/>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view="pageLayout" zoomScaleNormal="100" workbookViewId="0">
      <selection activeCell="D26" sqref="D26"/>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98" t="s">
        <v>413</v>
      </c>
      <c r="B1" s="198"/>
      <c r="C1" s="198"/>
      <c r="D1" s="198"/>
      <c r="E1" s="171" t="s">
        <v>415</v>
      </c>
      <c r="F1" s="3" t="s">
        <v>416</v>
      </c>
    </row>
    <row r="2" spans="1:7" x14ac:dyDescent="0.25">
      <c r="A2" s="1"/>
      <c r="B2" s="1"/>
    </row>
    <row r="3" spans="1:7" x14ac:dyDescent="0.25">
      <c r="A3" s="3" t="s">
        <v>35</v>
      </c>
      <c r="B3" s="168" t="s">
        <v>418</v>
      </c>
      <c r="D3" s="3" t="s">
        <v>36</v>
      </c>
      <c r="E3" s="4"/>
    </row>
    <row r="4" spans="1:7" x14ac:dyDescent="0.25">
      <c r="A4" s="3" t="s">
        <v>37</v>
      </c>
      <c r="B4" s="122">
        <v>12</v>
      </c>
      <c r="C4" s="4" t="str">
        <f>IF(E1="Yes","",IF(E1="No","Pre-Construction","Update"))</f>
        <v>Pre-Construction</v>
      </c>
      <c r="D4" s="3" t="s">
        <v>38</v>
      </c>
      <c r="E4" s="140" t="s">
        <v>426</v>
      </c>
    </row>
    <row r="6" spans="1:7" x14ac:dyDescent="0.25">
      <c r="A6" s="198" t="s">
        <v>39</v>
      </c>
      <c r="B6" s="198"/>
      <c r="C6" s="178" t="s">
        <v>427</v>
      </c>
      <c r="D6" s="178"/>
    </row>
    <row r="7" spans="1:7" x14ac:dyDescent="0.25">
      <c r="A7" s="198" t="s">
        <v>412</v>
      </c>
      <c r="B7" s="198"/>
      <c r="C7" s="178" t="s">
        <v>159</v>
      </c>
      <c r="D7" s="178"/>
    </row>
    <row r="9" spans="1:7" x14ac:dyDescent="0.25">
      <c r="A9" s="2" t="s">
        <v>40</v>
      </c>
    </row>
    <row r="10" spans="1:7" x14ac:dyDescent="0.25">
      <c r="A10" s="2"/>
    </row>
    <row r="11" spans="1:7" x14ac:dyDescent="0.25">
      <c r="C11" s="10" t="s">
        <v>41</v>
      </c>
      <c r="D11" s="3">
        <v>1</v>
      </c>
      <c r="E11" s="8"/>
      <c r="G11" s="8"/>
    </row>
    <row r="12" spans="1:7" x14ac:dyDescent="0.25">
      <c r="A12" s="11" t="s">
        <v>42</v>
      </c>
      <c r="D12" s="166" t="s">
        <v>80</v>
      </c>
      <c r="E12" s="8"/>
      <c r="F12" s="121"/>
      <c r="G12" s="8"/>
    </row>
    <row r="13" spans="1:7" x14ac:dyDescent="0.25">
      <c r="A13" s="11" t="s">
        <v>43</v>
      </c>
      <c r="D13" s="165">
        <f>VLOOKUP(D12,'Tc - Mannings n'!$C$5:$D$8,2,FALSE)</f>
        <v>0.8</v>
      </c>
      <c r="E13" s="8"/>
      <c r="F13" s="141">
        <v>0</v>
      </c>
      <c r="G13" s="8"/>
    </row>
    <row r="14" spans="1:7" x14ac:dyDescent="0.25">
      <c r="A14" s="11" t="s">
        <v>44</v>
      </c>
      <c r="D14" s="141">
        <v>100</v>
      </c>
      <c r="E14" s="13"/>
      <c r="F14" s="141">
        <v>0</v>
      </c>
      <c r="G14" s="13"/>
    </row>
    <row r="15" spans="1:7" x14ac:dyDescent="0.25">
      <c r="A15" s="11" t="s">
        <v>45</v>
      </c>
      <c r="D15" s="12">
        <f>VLOOKUP($C$7,'SCDHEC 24 HR Storm (in.)'!$B$3:$J$64,3,FALSE)</f>
        <v>3.6</v>
      </c>
      <c r="E15" s="14"/>
      <c r="F15" s="12">
        <f>VLOOKUP($C$7,'SCDHEC 24 HR Storm (in.)'!$B$3:$J$64,3,FALSE)</f>
        <v>3.6</v>
      </c>
      <c r="G15" s="14"/>
    </row>
    <row r="16" spans="1:7" x14ac:dyDescent="0.25">
      <c r="A16" s="11" t="s">
        <v>46</v>
      </c>
      <c r="D16" s="141">
        <v>3.0000000000000001E-3</v>
      </c>
      <c r="E16" s="15"/>
      <c r="F16" s="141">
        <v>9.9999999999999995E-7</v>
      </c>
      <c r="G16" s="15"/>
    </row>
    <row r="17" spans="1:9" x14ac:dyDescent="0.25">
      <c r="A17" s="11"/>
      <c r="D17" s="11"/>
      <c r="E17" s="16"/>
      <c r="F17" s="11"/>
      <c r="G17" s="16"/>
    </row>
    <row r="18" spans="1:9" x14ac:dyDescent="0.25">
      <c r="A18" s="11" t="s">
        <v>47</v>
      </c>
      <c r="D18" s="12">
        <f>((0.007*(D13*D14)^0.8)/(((D15)^0.5)*((D16)^0.4)))</f>
        <v>1.2547877706187753</v>
      </c>
      <c r="E18" s="16"/>
      <c r="F18" s="12">
        <f>((0.007*(F13*F14)^0.8)/(((F15)^0.5)*((F16)^0.4)))</f>
        <v>0</v>
      </c>
      <c r="G18" s="16"/>
    </row>
    <row r="19" spans="1:9" x14ac:dyDescent="0.25">
      <c r="D19" s="17"/>
      <c r="E19" s="16"/>
      <c r="F19" s="17"/>
      <c r="G19" s="16"/>
    </row>
    <row r="20" spans="1:9" x14ac:dyDescent="0.25">
      <c r="D20" s="199" t="s">
        <v>48</v>
      </c>
      <c r="E20" s="200"/>
      <c r="F20" s="200"/>
      <c r="G20" s="200"/>
      <c r="H20" s="18">
        <f>D18+F18</f>
        <v>1.2547877706187753</v>
      </c>
    </row>
    <row r="22" spans="1:9" x14ac:dyDescent="0.25">
      <c r="A22" s="19" t="s">
        <v>49</v>
      </c>
    </row>
    <row r="23" spans="1:9" x14ac:dyDescent="0.25">
      <c r="C23" s="10" t="s">
        <v>41</v>
      </c>
      <c r="D23" s="3">
        <v>2</v>
      </c>
    </row>
    <row r="24" spans="1:9" x14ac:dyDescent="0.25">
      <c r="A24" s="11" t="s">
        <v>50</v>
      </c>
      <c r="D24" s="20" t="s">
        <v>51</v>
      </c>
      <c r="F24" s="11" t="s">
        <v>52</v>
      </c>
    </row>
    <row r="25" spans="1:9" x14ac:dyDescent="0.25">
      <c r="A25" s="11" t="s">
        <v>53</v>
      </c>
      <c r="D25" s="141">
        <v>1114</v>
      </c>
      <c r="F25" s="141">
        <v>70</v>
      </c>
    </row>
    <row r="26" spans="1:9" x14ac:dyDescent="0.25">
      <c r="A26" s="11" t="s">
        <v>54</v>
      </c>
      <c r="D26" s="141">
        <f>20/D25</f>
        <v>1.7953321364452424E-2</v>
      </c>
      <c r="E26" s="21"/>
      <c r="F26" s="141">
        <f>2/F25</f>
        <v>2.8571428571428571E-2</v>
      </c>
      <c r="G26" s="21"/>
      <c r="H26" s="21"/>
      <c r="I26" s="21"/>
    </row>
    <row r="27" spans="1:9" x14ac:dyDescent="0.25">
      <c r="A27" s="11" t="s">
        <v>55</v>
      </c>
      <c r="D27" s="12">
        <f>(16.1345*(D26^0.5))</f>
        <v>2.1618617311299619</v>
      </c>
      <c r="E27" s="5"/>
      <c r="F27" s="12">
        <f>(20.3282*(F26^0.5))</f>
        <v>3.4360929441944457</v>
      </c>
      <c r="G27" s="5"/>
    </row>
    <row r="28" spans="1:9" x14ac:dyDescent="0.25">
      <c r="A28" s="11"/>
      <c r="D28" s="12"/>
      <c r="E28" s="17"/>
      <c r="F28" s="12"/>
      <c r="G28" s="17"/>
    </row>
    <row r="29" spans="1:9" x14ac:dyDescent="0.25">
      <c r="A29" s="11" t="s">
        <v>56</v>
      </c>
      <c r="D29" s="12">
        <f>(D25)/((3600*(D27)))</f>
        <v>0.14313794448024389</v>
      </c>
      <c r="E29" s="17"/>
      <c r="F29" s="12">
        <f>(F25)/((3600*(F27)))</f>
        <v>5.6588819802727954E-3</v>
      </c>
      <c r="G29" s="17"/>
    </row>
    <row r="30" spans="1:9" x14ac:dyDescent="0.25">
      <c r="D30" s="17"/>
      <c r="E30" s="17"/>
      <c r="F30" s="17"/>
      <c r="G30" s="17"/>
    </row>
    <row r="31" spans="1:9" x14ac:dyDescent="0.25">
      <c r="D31" s="199" t="s">
        <v>57</v>
      </c>
      <c r="E31" s="200"/>
      <c r="F31" s="200"/>
      <c r="G31" s="200"/>
      <c r="H31" s="22">
        <f>D29</f>
        <v>0.14313794448024389</v>
      </c>
    </row>
    <row r="32" spans="1:9" x14ac:dyDescent="0.25">
      <c r="A32" s="23" t="s">
        <v>58</v>
      </c>
    </row>
    <row r="33" spans="1:8" x14ac:dyDescent="0.25">
      <c r="A33" s="2"/>
    </row>
    <row r="34" spans="1:8" x14ac:dyDescent="0.25">
      <c r="A34" s="2"/>
      <c r="C34" s="10" t="s">
        <v>41</v>
      </c>
    </row>
    <row r="35" spans="1:8" ht="13.8" x14ac:dyDescent="0.25">
      <c r="A35" s="12" t="s">
        <v>59</v>
      </c>
      <c r="D35" s="141">
        <v>1E-4</v>
      </c>
      <c r="F35" s="141">
        <v>9.9999999999999994E-12</v>
      </c>
    </row>
    <row r="36" spans="1:8" x14ac:dyDescent="0.25">
      <c r="A36" s="12" t="s">
        <v>60</v>
      </c>
      <c r="D36" s="141">
        <v>1.0000000000000001E-5</v>
      </c>
      <c r="F36" s="141">
        <v>1E-4</v>
      </c>
    </row>
    <row r="37" spans="1:8" x14ac:dyDescent="0.25">
      <c r="A37" s="12" t="s">
        <v>61</v>
      </c>
      <c r="D37" s="12">
        <f>D35/D36</f>
        <v>10</v>
      </c>
      <c r="E37" s="17"/>
      <c r="F37" s="12">
        <f>F35/F36</f>
        <v>9.9999999999999995E-8</v>
      </c>
    </row>
    <row r="38" spans="1:8" x14ac:dyDescent="0.25">
      <c r="A38" s="12" t="s">
        <v>62</v>
      </c>
      <c r="D38" s="141">
        <v>1.0000000000000001E-9</v>
      </c>
      <c r="E38" s="21"/>
      <c r="F38" s="141">
        <v>9.9999999999999995E-7</v>
      </c>
      <c r="G38" s="21"/>
    </row>
    <row r="39" spans="1:8" x14ac:dyDescent="0.25">
      <c r="A39" s="12" t="s">
        <v>63</v>
      </c>
      <c r="D39" s="141">
        <v>0.1</v>
      </c>
      <c r="E39" s="5" t="s">
        <v>64</v>
      </c>
      <c r="F39" s="141">
        <v>1E-4</v>
      </c>
      <c r="G39" s="5"/>
    </row>
    <row r="40" spans="1:8" x14ac:dyDescent="0.25">
      <c r="A40" s="12" t="s">
        <v>65</v>
      </c>
      <c r="D40" s="12">
        <f>1.49*D37^(2/3)*D38^(1/2)/D39</f>
        <v>2.1870209087568836E-3</v>
      </c>
      <c r="E40" s="5"/>
      <c r="F40" s="12">
        <f>1.49*F37^(2/3)*F38^(1/2)/F39</f>
        <v>3.2101076881475095E-4</v>
      </c>
      <c r="G40" s="5"/>
    </row>
    <row r="41" spans="1:8" x14ac:dyDescent="0.25">
      <c r="A41" s="12" t="s">
        <v>66</v>
      </c>
      <c r="D41" s="141">
        <v>0</v>
      </c>
      <c r="E41" s="5"/>
      <c r="F41" s="141">
        <v>0</v>
      </c>
      <c r="G41" s="5"/>
    </row>
    <row r="42" spans="1:8" x14ac:dyDescent="0.25">
      <c r="A42" s="17"/>
      <c r="D42" s="17"/>
      <c r="E42" s="5"/>
      <c r="F42" s="17"/>
      <c r="G42" s="5"/>
    </row>
    <row r="43" spans="1:8" x14ac:dyDescent="0.25">
      <c r="A43" s="12" t="s">
        <v>67</v>
      </c>
      <c r="D43" s="12">
        <f>D41/3600/D40</f>
        <v>0</v>
      </c>
      <c r="E43" s="24"/>
      <c r="F43" s="12">
        <f>F41/3600/F40</f>
        <v>0</v>
      </c>
      <c r="G43" s="17"/>
    </row>
    <row r="45" spans="1:8" x14ac:dyDescent="0.25">
      <c r="D45" s="199" t="s">
        <v>68</v>
      </c>
      <c r="E45" s="200"/>
      <c r="F45" s="200"/>
      <c r="G45" s="200"/>
      <c r="H45" s="18">
        <f>D43+F43</f>
        <v>0</v>
      </c>
    </row>
    <row r="46" spans="1:8" x14ac:dyDescent="0.25">
      <c r="D46" s="25"/>
      <c r="E46" s="26"/>
      <c r="F46" s="25"/>
      <c r="G46" s="25"/>
    </row>
    <row r="48" spans="1:8" x14ac:dyDescent="0.25">
      <c r="B48" s="1" t="s">
        <v>69</v>
      </c>
      <c r="C48" s="1"/>
      <c r="D48" s="27">
        <f>H45+H20+H31</f>
        <v>1.3979257150990192</v>
      </c>
      <c r="E48" s="1" t="s">
        <v>70</v>
      </c>
      <c r="F48" s="27">
        <f>D48*60</f>
        <v>83.875542905941145</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view="pageLayout" zoomScaleNormal="100" workbookViewId="0">
      <selection activeCell="D25" sqref="D25"/>
    </sheetView>
  </sheetViews>
  <sheetFormatPr defaultColWidth="10.33203125" defaultRowHeight="13.2" x14ac:dyDescent="0.25"/>
  <cols>
    <col min="1" max="1" width="13.109375" style="3" customWidth="1"/>
    <col min="2" max="2" width="10.33203125" style="3" customWidth="1"/>
    <col min="3" max="3" width="18.109375" style="3" customWidth="1"/>
    <col min="4" max="4" width="11.109375" style="3" customWidth="1"/>
    <col min="5" max="5" width="9.6640625" style="3" customWidth="1"/>
    <col min="6" max="6" width="11.109375" style="3" customWidth="1"/>
    <col min="7" max="7" width="4.88671875" style="3" customWidth="1"/>
    <col min="8" max="8" width="10.33203125" style="3" customWidth="1"/>
    <col min="9" max="9" width="9.6640625" style="3" customWidth="1"/>
    <col min="10" max="10" width="13.6640625" customWidth="1"/>
    <col min="11" max="11" width="9" customWidth="1"/>
    <col min="12" max="12" width="12.109375" customWidth="1"/>
    <col min="13" max="18" width="10.33203125" customWidth="1"/>
    <col min="19" max="16384" width="10.33203125" style="3"/>
  </cols>
  <sheetData>
    <row r="1" spans="1:7" x14ac:dyDescent="0.25">
      <c r="A1" s="1"/>
      <c r="B1" s="1"/>
    </row>
    <row r="2" spans="1:7" x14ac:dyDescent="0.25">
      <c r="A2" s="3" t="s">
        <v>35</v>
      </c>
      <c r="B2" s="174" t="s">
        <v>418</v>
      </c>
      <c r="D2" s="3" t="s">
        <v>36</v>
      </c>
      <c r="E2" s="4"/>
    </row>
    <row r="3" spans="1:7" x14ac:dyDescent="0.25">
      <c r="A3" s="3" t="s">
        <v>37</v>
      </c>
      <c r="B3" s="122">
        <v>12</v>
      </c>
      <c r="C3" s="3" t="s">
        <v>112</v>
      </c>
      <c r="D3" s="3" t="s">
        <v>38</v>
      </c>
      <c r="E3" s="140" t="s">
        <v>426</v>
      </c>
    </row>
    <row r="5" spans="1:7" x14ac:dyDescent="0.25">
      <c r="A5" s="198" t="s">
        <v>39</v>
      </c>
      <c r="B5" s="198"/>
      <c r="C5" s="178" t="s">
        <v>427</v>
      </c>
      <c r="D5" s="178"/>
    </row>
    <row r="6" spans="1:7" x14ac:dyDescent="0.25">
      <c r="A6" s="198" t="s">
        <v>412</v>
      </c>
      <c r="B6" s="198"/>
      <c r="C6" s="177" t="str">
        <f>'tc-pre'!C7:D7</f>
        <v>Lexington, SC</v>
      </c>
      <c r="D6" s="177"/>
    </row>
    <row r="8" spans="1:7" x14ac:dyDescent="0.25">
      <c r="A8" s="2" t="s">
        <v>40</v>
      </c>
    </row>
    <row r="9" spans="1:7" x14ac:dyDescent="0.25">
      <c r="A9" s="2"/>
    </row>
    <row r="10" spans="1:7" x14ac:dyDescent="0.25">
      <c r="C10" s="10" t="s">
        <v>41</v>
      </c>
      <c r="D10" s="3">
        <v>1</v>
      </c>
      <c r="E10" s="8"/>
      <c r="G10" s="8"/>
    </row>
    <row r="11" spans="1:7" x14ac:dyDescent="0.25">
      <c r="A11" s="11" t="s">
        <v>42</v>
      </c>
      <c r="D11" s="166" t="s">
        <v>80</v>
      </c>
      <c r="E11" s="8"/>
      <c r="G11" s="8"/>
    </row>
    <row r="12" spans="1:7" x14ac:dyDescent="0.25">
      <c r="A12" s="11" t="s">
        <v>43</v>
      </c>
      <c r="D12" s="165">
        <f>VLOOKUP(D11,'Tc - Mannings n'!$C$5:$D$8,2,FALSE)</f>
        <v>0.8</v>
      </c>
      <c r="E12" s="8"/>
      <c r="F12" s="141">
        <v>0</v>
      </c>
      <c r="G12" s="8"/>
    </row>
    <row r="13" spans="1:7" x14ac:dyDescent="0.25">
      <c r="A13" s="11" t="s">
        <v>44</v>
      </c>
      <c r="D13" s="141">
        <v>100</v>
      </c>
      <c r="E13" s="13"/>
      <c r="F13" s="141">
        <v>0</v>
      </c>
      <c r="G13" s="13"/>
    </row>
    <row r="14" spans="1:7" x14ac:dyDescent="0.25">
      <c r="A14" s="11" t="s">
        <v>45</v>
      </c>
      <c r="D14" s="12">
        <f>VLOOKUP($C$6,'SCDHEC 24 HR Storm (in.)'!$B$3:$J$64,3,FALSE)</f>
        <v>3.6</v>
      </c>
      <c r="E14" s="14"/>
      <c r="F14" s="12">
        <f>VLOOKUP($C$6,'SCDHEC 24 HR Storm (in.)'!$B$3:$J$64,3,FALSE)</f>
        <v>3.6</v>
      </c>
      <c r="G14" s="14"/>
    </row>
    <row r="15" spans="1:7" x14ac:dyDescent="0.25">
      <c r="A15" s="11" t="s">
        <v>46</v>
      </c>
      <c r="D15" s="141">
        <v>3.0000000000000001E-3</v>
      </c>
      <c r="E15" s="15"/>
      <c r="F15" s="141">
        <v>9.9999999999999995E-7</v>
      </c>
      <c r="G15" s="15"/>
    </row>
    <row r="16" spans="1:7" x14ac:dyDescent="0.25">
      <c r="A16" s="11"/>
      <c r="D16" s="11"/>
      <c r="E16" s="16"/>
      <c r="F16" s="11"/>
      <c r="G16" s="16"/>
    </row>
    <row r="17" spans="1:9" x14ac:dyDescent="0.25">
      <c r="A17" s="11" t="s">
        <v>47</v>
      </c>
      <c r="D17" s="12">
        <f>((0.007*(D12*D13)^0.8)/(((D14)^0.5)*((D15)^0.4)))</f>
        <v>1.2547877706187753</v>
      </c>
      <c r="E17" s="16"/>
      <c r="F17" s="12">
        <f>((0.007*(F12*F13)^0.8)/(((F14)^0.5)*((F15)^0.4)))</f>
        <v>0</v>
      </c>
      <c r="G17" s="16"/>
    </row>
    <row r="18" spans="1:9" x14ac:dyDescent="0.25">
      <c r="D18" s="17"/>
      <c r="E18" s="16"/>
      <c r="F18" s="17"/>
      <c r="G18" s="16"/>
    </row>
    <row r="19" spans="1:9" x14ac:dyDescent="0.25">
      <c r="D19" s="199" t="s">
        <v>48</v>
      </c>
      <c r="E19" s="200"/>
      <c r="F19" s="200"/>
      <c r="G19" s="200"/>
      <c r="H19" s="18">
        <f>D17+F17</f>
        <v>1.2547877706187753</v>
      </c>
    </row>
    <row r="21" spans="1:9" x14ac:dyDescent="0.25">
      <c r="A21" s="19" t="s">
        <v>49</v>
      </c>
    </row>
    <row r="22" spans="1:9" x14ac:dyDescent="0.25">
      <c r="C22" s="10" t="s">
        <v>41</v>
      </c>
      <c r="D22" s="3">
        <v>2</v>
      </c>
    </row>
    <row r="23" spans="1:9" x14ac:dyDescent="0.25">
      <c r="A23" s="11" t="s">
        <v>50</v>
      </c>
      <c r="D23" s="20" t="s">
        <v>51</v>
      </c>
      <c r="F23" s="11" t="s">
        <v>52</v>
      </c>
    </row>
    <row r="24" spans="1:9" x14ac:dyDescent="0.25">
      <c r="A24" s="11" t="s">
        <v>53</v>
      </c>
      <c r="D24" s="141">
        <v>1114</v>
      </c>
      <c r="F24" s="141">
        <v>100</v>
      </c>
    </row>
    <row r="25" spans="1:9" x14ac:dyDescent="0.25">
      <c r="A25" s="11" t="s">
        <v>54</v>
      </c>
      <c r="D25" s="141">
        <f>20/D24</f>
        <v>1.7953321364452424E-2</v>
      </c>
      <c r="E25" s="21"/>
      <c r="F25" s="141">
        <f>2/F24</f>
        <v>0.02</v>
      </c>
      <c r="G25" s="21"/>
      <c r="H25" s="21"/>
      <c r="I25" s="21"/>
    </row>
    <row r="26" spans="1:9" x14ac:dyDescent="0.25">
      <c r="A26" s="11" t="s">
        <v>55</v>
      </c>
      <c r="D26" s="12">
        <f>(16.1345*(D25^0.5))</f>
        <v>2.1618617311299619</v>
      </c>
      <c r="E26" s="5"/>
      <c r="F26" s="12">
        <f>(20.3282*(F25^0.5))</f>
        <v>2.8748416138632749</v>
      </c>
      <c r="G26" s="5"/>
    </row>
    <row r="27" spans="1:9" x14ac:dyDescent="0.25">
      <c r="A27" s="11"/>
      <c r="D27" s="12"/>
      <c r="E27" s="17"/>
      <c r="F27" s="12"/>
      <c r="G27" s="17"/>
    </row>
    <row r="28" spans="1:9" x14ac:dyDescent="0.25">
      <c r="A28" s="11" t="s">
        <v>56</v>
      </c>
      <c r="D28" s="12">
        <f>(D24)/((3600*(D26)))</f>
        <v>0.14313794448024389</v>
      </c>
      <c r="E28" s="17"/>
      <c r="F28" s="12">
        <f>(F24)/((3600*(F26)))</f>
        <v>9.6623680566698747E-3</v>
      </c>
      <c r="G28" s="17"/>
    </row>
    <row r="29" spans="1:9" x14ac:dyDescent="0.25">
      <c r="D29" s="17"/>
      <c r="E29" s="17"/>
      <c r="F29" s="17"/>
      <c r="G29" s="17"/>
    </row>
    <row r="30" spans="1:9" x14ac:dyDescent="0.25">
      <c r="D30" s="199" t="s">
        <v>57</v>
      </c>
      <c r="E30" s="200"/>
      <c r="F30" s="200"/>
      <c r="G30" s="200"/>
      <c r="H30" s="22">
        <f>D28</f>
        <v>0.14313794448024389</v>
      </c>
    </row>
    <row r="31" spans="1:9" x14ac:dyDescent="0.25">
      <c r="A31" s="23" t="s">
        <v>58</v>
      </c>
    </row>
    <row r="32" spans="1:9" x14ac:dyDescent="0.25">
      <c r="A32" s="2"/>
    </row>
    <row r="33" spans="1:8" x14ac:dyDescent="0.25">
      <c r="A33" s="2"/>
      <c r="C33" s="10" t="s">
        <v>41</v>
      </c>
    </row>
    <row r="34" spans="1:8" ht="13.8" x14ac:dyDescent="0.25">
      <c r="A34" s="12" t="s">
        <v>59</v>
      </c>
      <c r="D34" s="141">
        <v>1E-4</v>
      </c>
      <c r="F34" s="141">
        <v>9.9999999999999994E-12</v>
      </c>
    </row>
    <row r="35" spans="1:8" x14ac:dyDescent="0.25">
      <c r="A35" s="12" t="s">
        <v>60</v>
      </c>
      <c r="D35" s="141">
        <v>1.0000000000000001E-5</v>
      </c>
      <c r="F35" s="141">
        <v>1E-4</v>
      </c>
    </row>
    <row r="36" spans="1:8" x14ac:dyDescent="0.25">
      <c r="A36" s="12" t="s">
        <v>61</v>
      </c>
      <c r="D36" s="12">
        <f>D34/D35</f>
        <v>10</v>
      </c>
      <c r="E36" s="17"/>
      <c r="F36" s="12">
        <f>F34/F35</f>
        <v>9.9999999999999995E-8</v>
      </c>
    </row>
    <row r="37" spans="1:8" x14ac:dyDescent="0.25">
      <c r="A37" s="12" t="s">
        <v>62</v>
      </c>
      <c r="D37" s="141">
        <v>1.0000000000000001E-9</v>
      </c>
      <c r="E37" s="21"/>
      <c r="F37" s="141">
        <v>9.9999999999999995E-7</v>
      </c>
      <c r="G37" s="21"/>
    </row>
    <row r="38" spans="1:8" x14ac:dyDescent="0.25">
      <c r="A38" s="12" t="s">
        <v>63</v>
      </c>
      <c r="D38" s="141">
        <v>9.9999999999999995E-7</v>
      </c>
      <c r="E38" s="5" t="s">
        <v>64</v>
      </c>
      <c r="F38" s="141">
        <v>1E-4</v>
      </c>
      <c r="G38" s="5"/>
    </row>
    <row r="39" spans="1:8" x14ac:dyDescent="0.25">
      <c r="A39" s="12" t="s">
        <v>65</v>
      </c>
      <c r="D39" s="12">
        <f>1.49*D36^(2/3)*D37^(1/2)/D38</f>
        <v>218.70209087568838</v>
      </c>
      <c r="E39" s="5"/>
      <c r="F39" s="12">
        <f>1.49*F36^(2/3)*F37^(1/2)/F38</f>
        <v>3.2101076881475095E-4</v>
      </c>
      <c r="G39" s="5"/>
    </row>
    <row r="40" spans="1:8" x14ac:dyDescent="0.25">
      <c r="A40" s="12" t="s">
        <v>66</v>
      </c>
      <c r="D40" s="141">
        <v>0</v>
      </c>
      <c r="E40" s="5"/>
      <c r="F40" s="141">
        <v>0</v>
      </c>
      <c r="G40" s="5"/>
    </row>
    <row r="41" spans="1:8" x14ac:dyDescent="0.25">
      <c r="A41" s="17"/>
      <c r="D41" s="17"/>
      <c r="E41" s="5"/>
      <c r="F41" s="17"/>
      <c r="G41" s="5"/>
    </row>
    <row r="42" spans="1:8" x14ac:dyDescent="0.25">
      <c r="A42" s="12" t="s">
        <v>67</v>
      </c>
      <c r="D42" s="12">
        <f>D40/3600/D39</f>
        <v>0</v>
      </c>
      <c r="E42" s="24"/>
      <c r="F42" s="12">
        <f>F40/3600/F39</f>
        <v>0</v>
      </c>
      <c r="G42" s="17"/>
    </row>
    <row r="44" spans="1:8" x14ac:dyDescent="0.25">
      <c r="D44" s="199" t="s">
        <v>68</v>
      </c>
      <c r="E44" s="200"/>
      <c r="F44" s="200"/>
      <c r="G44" s="200"/>
      <c r="H44" s="18">
        <f>D42+F42</f>
        <v>0</v>
      </c>
    </row>
    <row r="45" spans="1:8" x14ac:dyDescent="0.25">
      <c r="D45" s="25"/>
      <c r="E45" s="26"/>
      <c r="F45" s="25"/>
      <c r="G45" s="25"/>
    </row>
    <row r="47" spans="1:8" x14ac:dyDescent="0.25">
      <c r="B47" s="1" t="s">
        <v>69</v>
      </c>
      <c r="C47" s="1"/>
      <c r="D47" s="27">
        <f>IF('tc-pre'!E1="Yes",'tc-pre'!D48,H44+H19+H30)</f>
        <v>1.3979257150990192</v>
      </c>
      <c r="E47" s="1" t="s">
        <v>70</v>
      </c>
      <c r="F47" s="27">
        <f>D47*60</f>
        <v>83.875542905941145</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143</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240.17076</v>
      </c>
      <c r="C9" s="30">
        <v>35.630209999999998</v>
      </c>
      <c r="D9" s="30">
        <v>1.03569</v>
      </c>
      <c r="E9" s="29"/>
      <c r="F9" s="29"/>
      <c r="G9" s="9">
        <f t="shared" ref="G9:G14" si="0">B9/(C9+$D$4)^D9</f>
        <v>1.6942961082935815</v>
      </c>
      <c r="H9" s="9">
        <f t="shared" ref="H9:H14" si="1">B9/(C9+$D$5)^D9</f>
        <v>1.6942961082935815</v>
      </c>
      <c r="J9" s="29"/>
      <c r="K9" s="29"/>
      <c r="L9" s="30"/>
    </row>
    <row r="10" spans="1:12" x14ac:dyDescent="0.25">
      <c r="A10" s="31">
        <v>5</v>
      </c>
      <c r="B10" s="34">
        <v>255.24329</v>
      </c>
      <c r="C10" s="30">
        <v>33.254809999999999</v>
      </c>
      <c r="D10" s="30">
        <v>1.0208900000000001</v>
      </c>
      <c r="E10" s="29"/>
      <c r="F10" s="29"/>
      <c r="G10" s="9">
        <f t="shared" si="0"/>
        <v>1.9727423923880332</v>
      </c>
      <c r="H10" s="9">
        <f t="shared" si="1"/>
        <v>1.9727423923880332</v>
      </c>
      <c r="J10" s="29"/>
      <c r="K10" s="29"/>
      <c r="L10" s="30"/>
    </row>
    <row r="11" spans="1:12" x14ac:dyDescent="0.25">
      <c r="A11" s="31">
        <v>10</v>
      </c>
      <c r="B11" s="34">
        <v>265.24779999999998</v>
      </c>
      <c r="C11" s="30">
        <v>31.742000000000001</v>
      </c>
      <c r="D11" s="30">
        <v>1.0112399999999999</v>
      </c>
      <c r="E11" s="29"/>
      <c r="F11" s="29"/>
      <c r="G11" s="35">
        <f t="shared" si="0"/>
        <v>2.1749018773992219</v>
      </c>
      <c r="H11" s="118">
        <f t="shared" si="1"/>
        <v>2.1749018773992219</v>
      </c>
      <c r="J11" s="29"/>
      <c r="K11" s="29"/>
      <c r="L11" s="30"/>
    </row>
    <row r="12" spans="1:12" x14ac:dyDescent="0.25">
      <c r="A12" s="31">
        <v>25</v>
      </c>
      <c r="B12" s="34">
        <v>278.52156000000002</v>
      </c>
      <c r="C12" s="30">
        <v>29.775359999999999</v>
      </c>
      <c r="D12" s="30">
        <v>0.99855000000000005</v>
      </c>
      <c r="E12" s="29"/>
      <c r="F12" s="29"/>
      <c r="G12" s="9">
        <f t="shared" si="0"/>
        <v>2.4675531123959202</v>
      </c>
      <c r="H12" s="9">
        <f t="shared" si="1"/>
        <v>2.4675531123959202</v>
      </c>
      <c r="J12" s="29"/>
      <c r="K12" s="29"/>
      <c r="L12" s="30"/>
    </row>
    <row r="13" spans="1:12" x14ac:dyDescent="0.25">
      <c r="A13" s="31">
        <v>50</v>
      </c>
      <c r="B13" s="34">
        <v>287.81452999999999</v>
      </c>
      <c r="C13" s="30">
        <v>28.396049999999999</v>
      </c>
      <c r="D13" s="30">
        <v>0.98965999999999998</v>
      </c>
      <c r="E13" s="29"/>
      <c r="F13" s="29"/>
      <c r="G13" s="9">
        <f t="shared" si="0"/>
        <v>2.6917989612117053</v>
      </c>
      <c r="H13" s="9">
        <f t="shared" si="1"/>
        <v>2.6917989612117053</v>
      </c>
    </row>
    <row r="14" spans="1:12" x14ac:dyDescent="0.25">
      <c r="A14" s="31">
        <v>100</v>
      </c>
      <c r="B14" s="34">
        <v>295.99399</v>
      </c>
      <c r="C14" s="30">
        <v>27.15249</v>
      </c>
      <c r="D14" s="30">
        <v>0.98175999999999997</v>
      </c>
      <c r="E14" s="29"/>
      <c r="F14" s="29"/>
      <c r="G14" s="9">
        <f t="shared" si="0"/>
        <v>2.9050856360410178</v>
      </c>
      <c r="H14" s="9">
        <f t="shared" si="1"/>
        <v>2.9050856360410178</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6.9326067850012283</v>
      </c>
      <c r="C19" s="30">
        <f t="shared" ref="C19:C26" si="2">A19/60</f>
        <v>8.3333333333333329E-2</v>
      </c>
      <c r="F19" s="29"/>
      <c r="G19" s="29"/>
      <c r="H19" s="29"/>
    </row>
    <row r="20" spans="1:8" x14ac:dyDescent="0.25">
      <c r="A20" s="29">
        <v>10</v>
      </c>
      <c r="B20" s="29">
        <f t="shared" ref="B20:B26" si="3">$B$11/($C$11+A20)^$D$11</f>
        <v>6.0934505824806591</v>
      </c>
      <c r="C20" s="30">
        <f t="shared" si="2"/>
        <v>0.16666666666666666</v>
      </c>
      <c r="F20" s="29"/>
      <c r="G20" s="29"/>
      <c r="H20" s="29"/>
    </row>
    <row r="21" spans="1:8" x14ac:dyDescent="0.25">
      <c r="A21" s="29">
        <v>30</v>
      </c>
      <c r="B21" s="29">
        <f t="shared" si="3"/>
        <v>4.1015212888151016</v>
      </c>
      <c r="C21" s="30">
        <f t="shared" si="2"/>
        <v>0.5</v>
      </c>
      <c r="F21" s="29"/>
      <c r="G21" s="29"/>
      <c r="H21" s="29"/>
    </row>
    <row r="22" spans="1:8" x14ac:dyDescent="0.25">
      <c r="A22" s="29">
        <v>60</v>
      </c>
      <c r="B22" s="29">
        <f t="shared" si="3"/>
        <v>2.7480480379573922</v>
      </c>
      <c r="C22" s="30">
        <f t="shared" si="2"/>
        <v>1</v>
      </c>
      <c r="F22" s="29"/>
      <c r="G22" s="29"/>
      <c r="H22" s="29"/>
    </row>
    <row r="23" spans="1:8" x14ac:dyDescent="0.25">
      <c r="A23" s="29">
        <v>180</v>
      </c>
      <c r="B23" s="29">
        <f t="shared" si="3"/>
        <v>1.1795129375177651</v>
      </c>
      <c r="C23" s="30">
        <f t="shared" si="2"/>
        <v>3</v>
      </c>
      <c r="F23" s="29"/>
      <c r="G23" s="29"/>
      <c r="H23" s="29"/>
    </row>
    <row r="24" spans="1:8" x14ac:dyDescent="0.25">
      <c r="A24" s="29">
        <v>360</v>
      </c>
      <c r="B24" s="29">
        <f t="shared" si="3"/>
        <v>0.63314959399507909</v>
      </c>
      <c r="C24" s="30">
        <f t="shared" si="2"/>
        <v>6</v>
      </c>
      <c r="F24" s="29"/>
      <c r="G24" s="33"/>
      <c r="H24" s="33"/>
    </row>
    <row r="25" spans="1:8" x14ac:dyDescent="0.25">
      <c r="A25" s="29">
        <v>840</v>
      </c>
      <c r="B25" s="29">
        <f t="shared" si="3"/>
        <v>0.28197711263414693</v>
      </c>
      <c r="C25" s="30">
        <f t="shared" si="2"/>
        <v>14</v>
      </c>
      <c r="F25" s="29"/>
      <c r="G25" s="9"/>
      <c r="H25" s="9"/>
    </row>
    <row r="26" spans="1:8" x14ac:dyDescent="0.25">
      <c r="A26" s="29">
        <v>1440</v>
      </c>
      <c r="B26" s="29">
        <f t="shared" si="3"/>
        <v>0.16604036468899533</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144</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244.33716000000001</v>
      </c>
      <c r="C9" s="30">
        <v>34.959330000000001</v>
      </c>
      <c r="D9" s="30">
        <v>1.03155</v>
      </c>
      <c r="E9" s="29"/>
      <c r="F9" s="29"/>
      <c r="G9" s="9">
        <f t="shared" ref="G9:G14" si="0">B9/(C9+$D$4)^D9</f>
        <v>1.7684025617896333</v>
      </c>
      <c r="H9" s="9">
        <f t="shared" ref="H9:H14" si="1">B9/(C9+$D$5)^D9</f>
        <v>1.7684025617896333</v>
      </c>
      <c r="J9" s="29"/>
      <c r="K9" s="29"/>
      <c r="L9" s="30"/>
    </row>
    <row r="10" spans="1:12" x14ac:dyDescent="0.25">
      <c r="A10" s="31">
        <v>5</v>
      </c>
      <c r="B10" s="34">
        <v>257.69540999999998</v>
      </c>
      <c r="C10" s="30">
        <v>32.880209999999998</v>
      </c>
      <c r="D10" s="30">
        <v>1.01851</v>
      </c>
      <c r="E10" s="29"/>
      <c r="F10" s="29"/>
      <c r="G10" s="9">
        <f t="shared" si="0"/>
        <v>2.0209849211896893</v>
      </c>
      <c r="H10" s="9">
        <f t="shared" si="1"/>
        <v>2.0209849211896893</v>
      </c>
      <c r="J10" s="29"/>
      <c r="K10" s="29"/>
      <c r="L10" s="30"/>
    </row>
    <row r="11" spans="1:12" x14ac:dyDescent="0.25">
      <c r="A11" s="31">
        <v>10</v>
      </c>
      <c r="B11" s="34">
        <v>266.94598999999999</v>
      </c>
      <c r="C11" s="30">
        <v>31.48667</v>
      </c>
      <c r="D11" s="30">
        <v>1.0096099999999999</v>
      </c>
      <c r="E11" s="29"/>
      <c r="F11" s="29"/>
      <c r="G11" s="35">
        <f t="shared" si="0"/>
        <v>2.2107691325127181</v>
      </c>
      <c r="H11" s="118">
        <f t="shared" si="1"/>
        <v>2.2107691325127181</v>
      </c>
      <c r="J11" s="29"/>
      <c r="K11" s="29"/>
      <c r="L11" s="30"/>
    </row>
    <row r="12" spans="1:12" x14ac:dyDescent="0.25">
      <c r="A12" s="31">
        <v>25</v>
      </c>
      <c r="B12" s="34">
        <v>279.19853000000001</v>
      </c>
      <c r="C12" s="30">
        <v>29.675370000000001</v>
      </c>
      <c r="D12" s="30">
        <v>0.99790000000000001</v>
      </c>
      <c r="E12" s="29"/>
      <c r="F12" s="29"/>
      <c r="G12" s="9">
        <f t="shared" si="0"/>
        <v>2.4833526578481759</v>
      </c>
      <c r="H12" s="9">
        <f t="shared" si="1"/>
        <v>2.4833526578481759</v>
      </c>
      <c r="J12" s="29"/>
      <c r="K12" s="29"/>
      <c r="L12" s="30"/>
    </row>
    <row r="13" spans="1:12" x14ac:dyDescent="0.25">
      <c r="A13" s="31">
        <v>50</v>
      </c>
      <c r="B13" s="34">
        <v>287.71203000000003</v>
      </c>
      <c r="C13" s="30">
        <v>28.41133</v>
      </c>
      <c r="D13" s="30">
        <v>0.98975000000000002</v>
      </c>
      <c r="E13" s="29"/>
      <c r="F13" s="29"/>
      <c r="G13" s="9">
        <f t="shared" si="0"/>
        <v>2.6893350133246292</v>
      </c>
      <c r="H13" s="9">
        <f t="shared" si="1"/>
        <v>2.6893350133246292</v>
      </c>
    </row>
    <row r="14" spans="1:12" x14ac:dyDescent="0.25">
      <c r="A14" s="31">
        <v>100</v>
      </c>
      <c r="B14" s="34">
        <v>295.76549999999997</v>
      </c>
      <c r="C14" s="30">
        <v>27.18778</v>
      </c>
      <c r="D14" s="30">
        <v>0.98197999999999996</v>
      </c>
      <c r="E14" s="29"/>
      <c r="F14" s="29"/>
      <c r="G14" s="9">
        <f t="shared" si="0"/>
        <v>2.8989320386058224</v>
      </c>
      <c r="H14" s="9">
        <f t="shared" si="1"/>
        <v>2.8989320386058224</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7.0676830064074903</v>
      </c>
      <c r="C19" s="30">
        <f t="shared" ref="C19:C26" si="2">A19/60</f>
        <v>8.3333333333333329E-2</v>
      </c>
      <c r="F19" s="29"/>
      <c r="G19" s="29"/>
      <c r="H19" s="29"/>
    </row>
    <row r="20" spans="1:8" x14ac:dyDescent="0.25">
      <c r="A20" s="29">
        <v>10</v>
      </c>
      <c r="B20" s="29">
        <f t="shared" ref="B20:B26" si="3">$B$11/($C$11+A20)^$D$11</f>
        <v>6.2082146330879251</v>
      </c>
      <c r="C20" s="30">
        <f t="shared" si="2"/>
        <v>0.16666666666666666</v>
      </c>
      <c r="F20" s="29"/>
      <c r="G20" s="29"/>
      <c r="H20" s="29"/>
    </row>
    <row r="21" spans="1:8" x14ac:dyDescent="0.25">
      <c r="A21" s="29">
        <v>30</v>
      </c>
      <c r="B21" s="29">
        <f t="shared" si="3"/>
        <v>4.1730370741665386</v>
      </c>
      <c r="C21" s="30">
        <f t="shared" si="2"/>
        <v>0.5</v>
      </c>
      <c r="F21" s="29"/>
      <c r="G21" s="29"/>
      <c r="H21" s="29"/>
    </row>
    <row r="22" spans="1:8" x14ac:dyDescent="0.25">
      <c r="A22" s="29">
        <v>60</v>
      </c>
      <c r="B22" s="29">
        <f t="shared" si="3"/>
        <v>2.7939390815258647</v>
      </c>
      <c r="C22" s="30">
        <f t="shared" si="2"/>
        <v>1</v>
      </c>
      <c r="F22" s="29"/>
      <c r="G22" s="29"/>
      <c r="H22" s="29"/>
    </row>
    <row r="23" spans="1:8" x14ac:dyDescent="0.25">
      <c r="A23" s="29">
        <v>180</v>
      </c>
      <c r="B23" s="29">
        <f t="shared" si="3"/>
        <v>1.198931671196668</v>
      </c>
      <c r="C23" s="30">
        <f t="shared" si="2"/>
        <v>3</v>
      </c>
      <c r="F23" s="29"/>
      <c r="G23" s="29"/>
      <c r="H23" s="29"/>
    </row>
    <row r="24" spans="1:8" x14ac:dyDescent="0.25">
      <c r="A24" s="29">
        <v>360</v>
      </c>
      <c r="B24" s="29">
        <f t="shared" si="3"/>
        <v>0.64385846838608618</v>
      </c>
      <c r="C24" s="30">
        <f t="shared" si="2"/>
        <v>6</v>
      </c>
      <c r="F24" s="29"/>
      <c r="G24" s="33"/>
      <c r="H24" s="33"/>
    </row>
    <row r="25" spans="1:8" x14ac:dyDescent="0.25">
      <c r="A25" s="29">
        <v>840</v>
      </c>
      <c r="B25" s="29">
        <f t="shared" si="3"/>
        <v>0.28701642251486142</v>
      </c>
      <c r="C25" s="30">
        <f t="shared" si="2"/>
        <v>14</v>
      </c>
      <c r="F25" s="29"/>
      <c r="G25" s="9"/>
      <c r="H25" s="9"/>
    </row>
    <row r="26" spans="1:8" x14ac:dyDescent="0.25">
      <c r="A26" s="29">
        <v>1440</v>
      </c>
      <c r="B26" s="29">
        <f t="shared" si="3"/>
        <v>0.16913166754054446</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3.2" x14ac:dyDescent="0.25"/>
  <cols>
    <col min="1" max="1" width="11" bestFit="1" customWidth="1"/>
    <col min="2" max="2" width="11.5546875" customWidth="1"/>
    <col min="7" max="8" width="10" bestFit="1" customWidth="1"/>
  </cols>
  <sheetData>
    <row r="1" spans="1:12" x14ac:dyDescent="0.25">
      <c r="A1" s="202" t="s">
        <v>135</v>
      </c>
      <c r="B1" s="202"/>
      <c r="C1" s="202"/>
      <c r="D1" s="202"/>
      <c r="E1" s="202"/>
      <c r="F1" s="202"/>
      <c r="G1" s="202"/>
      <c r="H1" s="202"/>
    </row>
    <row r="2" spans="1:12" x14ac:dyDescent="0.25">
      <c r="A2" s="203" t="s">
        <v>145</v>
      </c>
      <c r="B2" s="204"/>
      <c r="C2" s="204"/>
      <c r="D2" s="204"/>
      <c r="E2" s="204"/>
      <c r="F2" s="204"/>
      <c r="G2" s="204"/>
      <c r="H2" s="204"/>
    </row>
    <row r="3" spans="1:12" x14ac:dyDescent="0.25">
      <c r="A3" s="28"/>
      <c r="B3" s="29"/>
      <c r="C3" s="29"/>
      <c r="D3" s="29"/>
      <c r="E3" s="29"/>
      <c r="F3" s="29"/>
      <c r="G3" s="29"/>
      <c r="H3" s="29"/>
    </row>
    <row r="4" spans="1:12" ht="13.8" x14ac:dyDescent="0.3">
      <c r="A4" s="205" t="s">
        <v>136</v>
      </c>
      <c r="B4" s="206"/>
      <c r="C4" s="206"/>
      <c r="D4" s="117">
        <f>'tc-pre'!F48</f>
        <v>83.875542905941145</v>
      </c>
      <c r="E4" s="29" t="s">
        <v>137</v>
      </c>
      <c r="F4" s="29"/>
      <c r="G4" s="29"/>
      <c r="H4" s="29"/>
      <c r="J4" s="201"/>
      <c r="K4" s="201"/>
      <c r="L4" s="201"/>
    </row>
    <row r="5" spans="1:12" x14ac:dyDescent="0.25">
      <c r="A5" s="205" t="s">
        <v>138</v>
      </c>
      <c r="B5" s="206"/>
      <c r="C5" s="206"/>
      <c r="D5" s="117">
        <f>'tc-post'!F47</f>
        <v>83.875542905941145</v>
      </c>
      <c r="E5" s="29" t="s">
        <v>137</v>
      </c>
      <c r="F5" s="29"/>
      <c r="G5" s="29"/>
      <c r="H5" s="29"/>
      <c r="J5" s="29"/>
      <c r="K5" s="29"/>
      <c r="L5" s="30"/>
    </row>
    <row r="6" spans="1:12" x14ac:dyDescent="0.25">
      <c r="A6" s="28"/>
      <c r="B6" s="29"/>
      <c r="C6" s="29"/>
      <c r="D6" s="29"/>
      <c r="E6" s="29"/>
      <c r="F6" s="29"/>
      <c r="G6" s="29"/>
      <c r="H6" s="29"/>
      <c r="J6" s="29"/>
      <c r="K6" s="29"/>
      <c r="L6" s="30"/>
    </row>
    <row r="7" spans="1:12" x14ac:dyDescent="0.25">
      <c r="A7" s="31" t="s">
        <v>73</v>
      </c>
      <c r="B7" s="29"/>
      <c r="C7" s="29"/>
      <c r="D7" s="29"/>
      <c r="E7" s="29"/>
      <c r="F7" s="29"/>
      <c r="G7" s="30" t="s">
        <v>139</v>
      </c>
      <c r="H7" s="30" t="s">
        <v>140</v>
      </c>
      <c r="J7" s="29"/>
      <c r="K7" s="29"/>
      <c r="L7" s="30"/>
    </row>
    <row r="8" spans="1:12" x14ac:dyDescent="0.25">
      <c r="A8" s="32" t="s">
        <v>74</v>
      </c>
      <c r="B8" s="33" t="s">
        <v>75</v>
      </c>
      <c r="C8" s="33" t="s">
        <v>76</v>
      </c>
      <c r="D8" s="33" t="s">
        <v>77</v>
      </c>
      <c r="E8" s="29"/>
      <c r="F8" s="29"/>
      <c r="G8" s="33" t="s">
        <v>78</v>
      </c>
      <c r="H8" s="33" t="s">
        <v>78</v>
      </c>
      <c r="J8" s="29"/>
      <c r="K8" s="29"/>
      <c r="L8" s="30"/>
    </row>
    <row r="9" spans="1:12" x14ac:dyDescent="0.25">
      <c r="A9" s="31">
        <v>2</v>
      </c>
      <c r="B9" s="34">
        <v>239.15087</v>
      </c>
      <c r="C9" s="30">
        <v>35.796199999999999</v>
      </c>
      <c r="D9" s="30">
        <v>1.0367</v>
      </c>
      <c r="E9" s="29"/>
      <c r="F9" s="29"/>
      <c r="G9" s="9">
        <f t="shared" ref="G9:G14" si="0">B9/(C9+$D$4)^D9</f>
        <v>1.676555970709763</v>
      </c>
      <c r="H9" s="9">
        <f t="shared" ref="H9:H14" si="1">B9/(C9+$D$5)^D9</f>
        <v>1.676555970709763</v>
      </c>
      <c r="J9" s="29"/>
      <c r="K9" s="29"/>
      <c r="L9" s="30"/>
    </row>
    <row r="10" spans="1:12" x14ac:dyDescent="0.25">
      <c r="A10" s="31">
        <v>5</v>
      </c>
      <c r="B10" s="34">
        <v>254.34352000000001</v>
      </c>
      <c r="C10" s="30">
        <v>33.392789999999998</v>
      </c>
      <c r="D10" s="30">
        <v>1.02176</v>
      </c>
      <c r="E10" s="29"/>
      <c r="F10" s="29"/>
      <c r="G10" s="9">
        <f t="shared" si="0"/>
        <v>1.9553051900840293</v>
      </c>
      <c r="H10" s="9">
        <f t="shared" si="1"/>
        <v>1.9553051900840293</v>
      </c>
      <c r="J10" s="29"/>
      <c r="K10" s="29"/>
      <c r="L10" s="30"/>
    </row>
    <row r="11" spans="1:12" x14ac:dyDescent="0.25">
      <c r="A11" s="31">
        <v>10</v>
      </c>
      <c r="B11" s="34">
        <v>264.4948</v>
      </c>
      <c r="C11" s="30">
        <v>31.854520000000001</v>
      </c>
      <c r="D11" s="30">
        <v>1.01196</v>
      </c>
      <c r="E11" s="29"/>
      <c r="F11" s="29"/>
      <c r="G11" s="35">
        <f t="shared" si="0"/>
        <v>2.1591963259578173</v>
      </c>
      <c r="H11" s="118">
        <f t="shared" si="1"/>
        <v>2.1591963259578173</v>
      </c>
      <c r="J11" s="29"/>
      <c r="K11" s="29"/>
      <c r="L11" s="30"/>
    </row>
    <row r="12" spans="1:12" x14ac:dyDescent="0.25">
      <c r="A12" s="31">
        <v>25</v>
      </c>
      <c r="B12" s="34">
        <v>277.53223000000003</v>
      </c>
      <c r="C12" s="30">
        <v>29.921430000000001</v>
      </c>
      <c r="D12" s="30">
        <v>0.99948999999999999</v>
      </c>
      <c r="E12" s="29"/>
      <c r="F12" s="29"/>
      <c r="G12" s="9">
        <f t="shared" si="0"/>
        <v>2.4447324792267429</v>
      </c>
      <c r="H12" s="9">
        <f t="shared" si="1"/>
        <v>2.4447324792267429</v>
      </c>
      <c r="J12" s="29"/>
      <c r="K12" s="29"/>
      <c r="L12" s="30"/>
    </row>
    <row r="13" spans="1:12" x14ac:dyDescent="0.25">
      <c r="A13" s="31">
        <v>50</v>
      </c>
      <c r="B13" s="34">
        <v>286.92505999999997</v>
      </c>
      <c r="C13" s="30">
        <v>28.528970000000001</v>
      </c>
      <c r="D13" s="30">
        <v>0.99051</v>
      </c>
      <c r="E13" s="29"/>
      <c r="F13" s="29"/>
      <c r="G13" s="9">
        <f t="shared" si="0"/>
        <v>2.669602933757119</v>
      </c>
      <c r="H13" s="9">
        <f t="shared" si="1"/>
        <v>2.669602933757119</v>
      </c>
    </row>
    <row r="14" spans="1:12" x14ac:dyDescent="0.25">
      <c r="A14" s="31">
        <v>100</v>
      </c>
      <c r="B14" s="34">
        <v>295.10935000000001</v>
      </c>
      <c r="C14" s="30">
        <v>27.28867</v>
      </c>
      <c r="D14" s="30">
        <v>0.98262000000000005</v>
      </c>
      <c r="E14" s="29"/>
      <c r="F14" s="29"/>
      <c r="G14" s="9">
        <f t="shared" si="0"/>
        <v>2.8812228069435952</v>
      </c>
      <c r="H14" s="9">
        <f t="shared" si="1"/>
        <v>2.8812228069435952</v>
      </c>
    </row>
    <row r="17" spans="1:8" x14ac:dyDescent="0.25">
      <c r="A17" s="119"/>
      <c r="B17" s="119"/>
      <c r="C17" s="119"/>
      <c r="D17" s="119"/>
      <c r="E17" s="119"/>
      <c r="F17" s="119"/>
      <c r="G17" s="119"/>
      <c r="H17" s="108"/>
    </row>
    <row r="18" spans="1:8" x14ac:dyDescent="0.25">
      <c r="A18" s="201" t="s">
        <v>72</v>
      </c>
      <c r="B18" s="201"/>
      <c r="C18" s="201"/>
      <c r="F18" s="120"/>
      <c r="G18" s="120"/>
      <c r="H18" s="107"/>
    </row>
    <row r="19" spans="1:8" x14ac:dyDescent="0.25">
      <c r="A19" s="29">
        <v>5</v>
      </c>
      <c r="B19" s="29">
        <f>$B$11/($C$11+A19)^$D$11</f>
        <v>6.8737091141681477</v>
      </c>
      <c r="C19" s="30">
        <f t="shared" ref="C19:C26" si="2">A19/60</f>
        <v>8.3333333333333329E-2</v>
      </c>
      <c r="F19" s="29"/>
      <c r="G19" s="29"/>
      <c r="H19" s="29"/>
    </row>
    <row r="20" spans="1:8" x14ac:dyDescent="0.25">
      <c r="A20" s="29">
        <v>10</v>
      </c>
      <c r="B20" s="29">
        <f t="shared" ref="B20:B26" si="3">$B$11/($C$11+A20)^$D$11</f>
        <v>6.0433637303489922</v>
      </c>
      <c r="C20" s="30">
        <f t="shared" si="2"/>
        <v>0.16666666666666666</v>
      </c>
      <c r="F20" s="29"/>
      <c r="G20" s="29"/>
      <c r="H20" s="29"/>
    </row>
    <row r="21" spans="1:8" x14ac:dyDescent="0.25">
      <c r="A21" s="29">
        <v>30</v>
      </c>
      <c r="B21" s="29">
        <f t="shared" si="3"/>
        <v>4.0702482165482499</v>
      </c>
      <c r="C21" s="30">
        <f t="shared" si="2"/>
        <v>0.5</v>
      </c>
      <c r="F21" s="29"/>
      <c r="G21" s="29"/>
      <c r="H21" s="29"/>
    </row>
    <row r="22" spans="1:8" x14ac:dyDescent="0.25">
      <c r="A22" s="29">
        <v>60</v>
      </c>
      <c r="B22" s="29">
        <f t="shared" si="3"/>
        <v>2.7279595338466094</v>
      </c>
      <c r="C22" s="30">
        <f t="shared" si="2"/>
        <v>1</v>
      </c>
      <c r="F22" s="29"/>
      <c r="G22" s="29"/>
      <c r="H22" s="29"/>
    </row>
    <row r="23" spans="1:8" x14ac:dyDescent="0.25">
      <c r="A23" s="29">
        <v>180</v>
      </c>
      <c r="B23" s="29">
        <f t="shared" si="3"/>
        <v>1.1710083519513597</v>
      </c>
      <c r="C23" s="30">
        <f t="shared" si="2"/>
        <v>3</v>
      </c>
      <c r="F23" s="29"/>
      <c r="G23" s="29"/>
      <c r="H23" s="29"/>
    </row>
    <row r="24" spans="1:8" x14ac:dyDescent="0.25">
      <c r="A24" s="29">
        <v>360</v>
      </c>
      <c r="B24" s="29">
        <f t="shared" si="3"/>
        <v>0.62846124895784838</v>
      </c>
      <c r="C24" s="30">
        <f t="shared" si="2"/>
        <v>6</v>
      </c>
      <c r="F24" s="29"/>
      <c r="G24" s="33"/>
      <c r="H24" s="33"/>
    </row>
    <row r="25" spans="1:8" x14ac:dyDescent="0.25">
      <c r="A25" s="29">
        <v>840</v>
      </c>
      <c r="B25" s="29">
        <f t="shared" si="3"/>
        <v>0.27977274516839196</v>
      </c>
      <c r="C25" s="30">
        <f t="shared" si="2"/>
        <v>14</v>
      </c>
      <c r="F25" s="29"/>
      <c r="G25" s="9"/>
      <c r="H25" s="9"/>
    </row>
    <row r="26" spans="1:8" x14ac:dyDescent="0.25">
      <c r="A26" s="29">
        <v>1440</v>
      </c>
      <c r="B26" s="29">
        <f t="shared" si="3"/>
        <v>0.16468899838593004</v>
      </c>
      <c r="C26" s="30">
        <f t="shared" si="2"/>
        <v>24</v>
      </c>
      <c r="F26" s="29"/>
      <c r="G26" s="9"/>
      <c r="H26" s="9"/>
    </row>
    <row r="27" spans="1:8" x14ac:dyDescent="0.25">
      <c r="A27" s="31"/>
      <c r="B27" s="34"/>
      <c r="C27" s="30"/>
      <c r="D27" s="30"/>
      <c r="E27" s="29"/>
      <c r="F27" s="29"/>
      <c r="G27" s="36"/>
      <c r="H27" s="36"/>
    </row>
    <row r="28" spans="1:8" x14ac:dyDescent="0.25">
      <c r="A28" s="31"/>
      <c r="B28" s="34"/>
      <c r="C28" s="30"/>
      <c r="D28" s="30"/>
      <c r="E28" s="29"/>
      <c r="F28" s="29"/>
      <c r="G28" s="9"/>
      <c r="H28" s="9"/>
    </row>
    <row r="29" spans="1:8" x14ac:dyDescent="0.25">
      <c r="A29" s="31"/>
      <c r="B29" s="34"/>
      <c r="C29" s="30"/>
      <c r="D29" s="30"/>
      <c r="E29" s="29"/>
      <c r="F29" s="29"/>
      <c r="G29" s="9"/>
      <c r="H29" s="9"/>
    </row>
    <row r="30" spans="1:8" x14ac:dyDescent="0.25">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251460</xdr:colOff>
                <xdr:row>9</xdr:row>
                <xdr:rowOff>60960</xdr:rowOff>
              </from>
              <to>
                <xdr:col>5</xdr:col>
                <xdr:colOff>426720</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Pierce, Cole</cp:lastModifiedBy>
  <cp:lastPrinted>2014-01-30T19:13:06Z</cp:lastPrinted>
  <dcterms:created xsi:type="dcterms:W3CDTF">2003-04-14T14:27:53Z</dcterms:created>
  <dcterms:modified xsi:type="dcterms:W3CDTF">2015-08-31T19:26:55Z</dcterms:modified>
</cp:coreProperties>
</file>