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95" windowWidth="15480" windowHeight="10245" firstSheet="2" activeTab="3"/>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SCS!$A$1:$H$188</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5" i="2" l="1"/>
  <c r="D26" i="7"/>
  <c r="D108" i="6"/>
  <c r="D109" i="6"/>
  <c r="D110" i="6"/>
  <c r="D111" i="6"/>
  <c r="D112" i="6"/>
  <c r="D113" i="6"/>
  <c r="D114" i="6"/>
  <c r="D115" i="6"/>
  <c r="D22" i="6"/>
  <c r="G117" i="6"/>
  <c r="W114" i="6"/>
  <c r="D107" i="6"/>
  <c r="W22" i="6"/>
  <c r="D15" i="6"/>
  <c r="D16" i="6"/>
  <c r="D17" i="6"/>
  <c r="D18" i="6"/>
  <c r="D19" i="6"/>
  <c r="D20" i="6"/>
  <c r="D21" i="6"/>
  <c r="D23" i="6"/>
  <c r="G25" i="6" l="1"/>
  <c r="F25" i="2" l="1"/>
  <c r="F26" i="7"/>
  <c r="D101"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D36" i="2"/>
  <c r="F36" i="2"/>
  <c r="D39" i="2"/>
  <c r="F39" i="2"/>
  <c r="D42" i="2"/>
  <c r="F42" i="2"/>
  <c r="H44" i="2"/>
  <c r="C4" i="7"/>
  <c r="D13" i="7"/>
  <c r="D18" i="7" s="1"/>
  <c r="D15" i="7"/>
  <c r="F15" i="7"/>
  <c r="F18" i="7" s="1"/>
  <c r="D27" i="7"/>
  <c r="D29" i="7" s="1"/>
  <c r="H31" i="7" s="1"/>
  <c r="F27" i="7"/>
  <c r="D37" i="7"/>
  <c r="F37" i="7"/>
  <c r="D40" i="7"/>
  <c r="D43" i="7" s="1"/>
  <c r="H45" i="7" s="1"/>
  <c r="F40" i="7"/>
  <c r="F43" i="7"/>
  <c r="W15" i="6"/>
  <c r="W16" i="6"/>
  <c r="W17" i="6"/>
  <c r="W18" i="6"/>
  <c r="W19" i="6"/>
  <c r="W20" i="6"/>
  <c r="W21" i="6"/>
  <c r="W23" i="6"/>
  <c r="F36" i="6"/>
  <c r="C57" i="6" s="1"/>
  <c r="F37" i="6"/>
  <c r="F38" i="6"/>
  <c r="C59" i="6" s="1"/>
  <c r="F39" i="6"/>
  <c r="C60" i="6" s="1"/>
  <c r="F40" i="6"/>
  <c r="C61" i="6" s="1"/>
  <c r="A47" i="6"/>
  <c r="A90" i="6" s="1"/>
  <c r="A48" i="6"/>
  <c r="A91" i="6" s="1"/>
  <c r="C58" i="6"/>
  <c r="C68" i="6"/>
  <c r="D75" i="6"/>
  <c r="D82" i="6"/>
  <c r="F82" i="6"/>
  <c r="D83" i="6"/>
  <c r="F83" i="6"/>
  <c r="D84" i="6"/>
  <c r="F84" i="6"/>
  <c r="D85" i="6"/>
  <c r="F85" i="6"/>
  <c r="D86" i="6"/>
  <c r="F86" i="6"/>
  <c r="D167" i="6"/>
  <c r="W107" i="6"/>
  <c r="W108" i="6"/>
  <c r="W109" i="6"/>
  <c r="W110" i="6"/>
  <c r="W111" i="6"/>
  <c r="W112" i="6"/>
  <c r="W113" i="6"/>
  <c r="W115" i="6"/>
  <c r="B122" i="6"/>
  <c r="A125" i="6"/>
  <c r="B125" i="6"/>
  <c r="F129" i="6"/>
  <c r="C150" i="6" s="1"/>
  <c r="F131" i="6"/>
  <c r="C152" i="6" s="1"/>
  <c r="F132" i="6"/>
  <c r="C153" i="6" s="1"/>
  <c r="A139" i="6"/>
  <c r="A140" i="6"/>
  <c r="A156" i="6"/>
  <c r="F174" i="6"/>
  <c r="D175" i="6"/>
  <c r="F175" i="6"/>
  <c r="F176" i="6"/>
  <c r="D177" i="6"/>
  <c r="F177" i="6"/>
  <c r="F178" i="6"/>
  <c r="E16" i="3"/>
  <c r="E17" i="3"/>
  <c r="E18" i="3"/>
  <c r="E19" i="3"/>
  <c r="E20" i="3"/>
  <c r="E21" i="3"/>
  <c r="H23" i="3"/>
  <c r="D43" i="3"/>
  <c r="F43" i="3"/>
  <c r="D44" i="3"/>
  <c r="F44" i="3"/>
  <c r="D45" i="3"/>
  <c r="F45" i="3"/>
  <c r="D46" i="3"/>
  <c r="F46" i="3"/>
  <c r="D47" i="3"/>
  <c r="F47" i="3"/>
  <c r="A50" i="3"/>
  <c r="A51" i="3"/>
  <c r="G62" i="3"/>
  <c r="E68" i="3"/>
  <c r="E69" i="3"/>
  <c r="E70" i="3"/>
  <c r="E71" i="3"/>
  <c r="E72" i="3"/>
  <c r="E73" i="3"/>
  <c r="H75" i="3"/>
  <c r="A78" i="3"/>
  <c r="C80" i="3"/>
  <c r="A93" i="3"/>
  <c r="A94" i="3"/>
  <c r="D103" i="3"/>
  <c r="F103" i="3"/>
  <c r="D104" i="3"/>
  <c r="F104" i="3"/>
  <c r="D105" i="3"/>
  <c r="F105" i="3"/>
  <c r="D106" i="3"/>
  <c r="F106" i="3"/>
  <c r="D107" i="3"/>
  <c r="F107" i="3"/>
  <c r="F128" i="6" l="1"/>
  <c r="C149" i="6" s="1"/>
  <c r="C67" i="6"/>
  <c r="D17" i="2"/>
  <c r="H19" i="2" s="1"/>
  <c r="H20" i="7"/>
  <c r="D178" i="6"/>
  <c r="D176" i="6"/>
  <c r="D174" i="6"/>
  <c r="C69" i="6"/>
  <c r="C159" i="6"/>
  <c r="C70" i="6"/>
  <c r="C163" i="6"/>
  <c r="C162" i="6"/>
  <c r="C71" i="6"/>
  <c r="C160" i="6"/>
  <c r="F130" i="6"/>
  <c r="E44" i="6"/>
  <c r="D57" i="6" s="1"/>
  <c r="F57" i="6" s="1"/>
  <c r="E82" i="6" s="1"/>
  <c r="E136" i="6"/>
  <c r="D151" i="6" s="1"/>
  <c r="D47" i="2" l="1"/>
  <c r="F47" i="2" s="1"/>
  <c r="D5" i="39" s="1"/>
  <c r="D48" i="7"/>
  <c r="E29" i="6" s="1"/>
  <c r="C151" i="6"/>
  <c r="F151" i="6" s="1"/>
  <c r="E176" i="6" s="1"/>
  <c r="C161" i="6"/>
  <c r="D60" i="6"/>
  <c r="F60" i="6" s="1"/>
  <c r="E85" i="6" s="1"/>
  <c r="D58" i="6"/>
  <c r="F58" i="6" s="1"/>
  <c r="E83" i="6" s="1"/>
  <c r="D59" i="6"/>
  <c r="F59" i="6" s="1"/>
  <c r="E84" i="6" s="1"/>
  <c r="E46" i="6"/>
  <c r="D69" i="6" s="1"/>
  <c r="E69" i="6" s="1"/>
  <c r="D61" i="6"/>
  <c r="F61" i="6" s="1"/>
  <c r="E86" i="6" s="1"/>
  <c r="E138" i="6"/>
  <c r="D160" i="6" s="1"/>
  <c r="E160" i="6" s="1"/>
  <c r="D152" i="6"/>
  <c r="F152" i="6" s="1"/>
  <c r="E177" i="6" s="1"/>
  <c r="D149" i="6"/>
  <c r="F149" i="6" s="1"/>
  <c r="E174" i="6" s="1"/>
  <c r="D150" i="6"/>
  <c r="F150" i="6" s="1"/>
  <c r="E175" i="6" s="1"/>
  <c r="D153" i="6"/>
  <c r="F153" i="6" s="1"/>
  <c r="E178" i="6" s="1"/>
  <c r="D5" i="35" l="1"/>
  <c r="H10" i="35" s="1"/>
  <c r="D5" i="42"/>
  <c r="H11" i="42" s="1"/>
  <c r="D5" i="18"/>
  <c r="H14" i="18" s="1"/>
  <c r="D5" i="22"/>
  <c r="H14" i="22" s="1"/>
  <c r="D5" i="23"/>
  <c r="H11" i="23" s="1"/>
  <c r="D5" i="16"/>
  <c r="H13" i="16" s="1"/>
  <c r="D5" i="27"/>
  <c r="H9" i="27" s="1"/>
  <c r="D5" i="29"/>
  <c r="H9" i="29" s="1"/>
  <c r="D5" i="36"/>
  <c r="H9" i="36" s="1"/>
  <c r="D5" i="26"/>
  <c r="H9" i="26" s="1"/>
  <c r="D5" i="12"/>
  <c r="H12" i="12" s="1"/>
  <c r="G88" i="3" s="1"/>
  <c r="E105" i="3" s="1"/>
  <c r="H105" i="3" s="1"/>
  <c r="D5" i="14"/>
  <c r="H10" i="14" s="1"/>
  <c r="F79" i="3"/>
  <c r="D5" i="34"/>
  <c r="H14" i="34" s="1"/>
  <c r="D5" i="41"/>
  <c r="H10" i="41" s="1"/>
  <c r="D5" i="24"/>
  <c r="H13" i="24" s="1"/>
  <c r="D5" i="19"/>
  <c r="H13" i="19" s="1"/>
  <c r="D5" i="31"/>
  <c r="H9" i="31" s="1"/>
  <c r="D5" i="38"/>
  <c r="H13" i="38" s="1"/>
  <c r="D5" i="28"/>
  <c r="H12" i="28" s="1"/>
  <c r="D5" i="30"/>
  <c r="H14" i="30" s="1"/>
  <c r="D5" i="37"/>
  <c r="H10" i="37" s="1"/>
  <c r="E121" i="6"/>
  <c r="D5" i="25"/>
  <c r="H14" i="25" s="1"/>
  <c r="D5" i="21"/>
  <c r="H13" i="21" s="1"/>
  <c r="D5" i="33"/>
  <c r="H13" i="33" s="1"/>
  <c r="D5" i="40"/>
  <c r="H10" i="40" s="1"/>
  <c r="D5" i="20"/>
  <c r="H10" i="20" s="1"/>
  <c r="D5" i="32"/>
  <c r="H10" i="32" s="1"/>
  <c r="F48" i="7"/>
  <c r="D4" i="18" s="1"/>
  <c r="G12" i="18" s="1"/>
  <c r="F27" i="3"/>
  <c r="D4" i="20"/>
  <c r="G12" i="20" s="1"/>
  <c r="H13" i="27"/>
  <c r="H13" i="36"/>
  <c r="H9" i="12"/>
  <c r="G86" i="3" s="1"/>
  <c r="E103" i="3" s="1"/>
  <c r="H103" i="3" s="1"/>
  <c r="E112" i="3" s="1"/>
  <c r="H14" i="19"/>
  <c r="H9" i="38"/>
  <c r="H12" i="38"/>
  <c r="H14" i="21"/>
  <c r="H11" i="40"/>
  <c r="H14" i="40"/>
  <c r="H9" i="32"/>
  <c r="H10" i="39"/>
  <c r="H12" i="39"/>
  <c r="H14" i="39"/>
  <c r="H9" i="39"/>
  <c r="H11" i="39"/>
  <c r="H13" i="39"/>
  <c r="H10" i="18"/>
  <c r="H11" i="18"/>
  <c r="H9" i="23"/>
  <c r="H12" i="23"/>
  <c r="H13" i="35"/>
  <c r="H12" i="22"/>
  <c r="H14" i="41"/>
  <c r="D68" i="6"/>
  <c r="E68" i="6" s="1"/>
  <c r="O68" i="6" s="1"/>
  <c r="D71" i="6"/>
  <c r="E71" i="6" s="1"/>
  <c r="S71" i="6" s="1"/>
  <c r="D67" i="6"/>
  <c r="E67" i="6" s="1"/>
  <c r="O67" i="6" s="1"/>
  <c r="D70" i="6"/>
  <c r="E70" i="6" s="1"/>
  <c r="O70" i="6" s="1"/>
  <c r="D162" i="6"/>
  <c r="E162" i="6" s="1"/>
  <c r="Q162" i="6" s="1"/>
  <c r="D159" i="6"/>
  <c r="E159" i="6" s="1"/>
  <c r="M159" i="6" s="1"/>
  <c r="D163" i="6"/>
  <c r="E163" i="6" s="1"/>
  <c r="Q163" i="6" s="1"/>
  <c r="D161" i="6"/>
  <c r="E161" i="6" s="1"/>
  <c r="M161" i="6" s="1"/>
  <c r="K69" i="6"/>
  <c r="O69" i="6"/>
  <c r="S69" i="6"/>
  <c r="L69" i="6"/>
  <c r="P69" i="6"/>
  <c r="T69" i="6"/>
  <c r="M69" i="6"/>
  <c r="Q69" i="6"/>
  <c r="U69" i="6"/>
  <c r="N69" i="6"/>
  <c r="R69" i="6"/>
  <c r="V69" i="6"/>
  <c r="M160" i="6"/>
  <c r="Q160" i="6"/>
  <c r="U160" i="6"/>
  <c r="N160" i="6"/>
  <c r="R160" i="6"/>
  <c r="V160" i="6"/>
  <c r="T160" i="6"/>
  <c r="K160" i="6"/>
  <c r="O160" i="6"/>
  <c r="S160" i="6"/>
  <c r="L160" i="6"/>
  <c r="P160" i="6"/>
  <c r="K68" i="6"/>
  <c r="K71" i="6"/>
  <c r="V71" i="6"/>
  <c r="H9" i="41" l="1"/>
  <c r="H13" i="18"/>
  <c r="H12" i="18"/>
  <c r="H13" i="40"/>
  <c r="H14" i="38"/>
  <c r="H11" i="38"/>
  <c r="H11" i="12"/>
  <c r="G87" i="3" s="1"/>
  <c r="E104" i="3" s="1"/>
  <c r="H104" i="3" s="1"/>
  <c r="E113" i="3" s="1"/>
  <c r="H10" i="12"/>
  <c r="H10" i="27"/>
  <c r="H9" i="40"/>
  <c r="H14" i="12"/>
  <c r="G90" i="3" s="1"/>
  <c r="E107" i="3" s="1"/>
  <c r="H107" i="3" s="1"/>
  <c r="H13" i="41"/>
  <c r="H12" i="41"/>
  <c r="H9" i="18"/>
  <c r="H12" i="40"/>
  <c r="H10" i="38"/>
  <c r="H14" i="27"/>
  <c r="H11" i="27"/>
  <c r="H11" i="41"/>
  <c r="H13" i="12"/>
  <c r="G89" i="3" s="1"/>
  <c r="E106" i="3" s="1"/>
  <c r="H106" i="3" s="1"/>
  <c r="H12" i="27"/>
  <c r="H12" i="25"/>
  <c r="H14" i="33"/>
  <c r="H13" i="42"/>
  <c r="H10" i="31"/>
  <c r="H13" i="26"/>
  <c r="H14" i="16"/>
  <c r="H13" i="34"/>
  <c r="H12" i="42"/>
  <c r="H9" i="42"/>
  <c r="H12" i="34"/>
  <c r="H10" i="42"/>
  <c r="H14" i="42"/>
  <c r="H11" i="33"/>
  <c r="H9" i="37"/>
  <c r="H11" i="16"/>
  <c r="H14" i="35"/>
  <c r="H11" i="35"/>
  <c r="H10" i="23"/>
  <c r="H14" i="32"/>
  <c r="H12" i="21"/>
  <c r="H13" i="30"/>
  <c r="H12" i="19"/>
  <c r="H12" i="35"/>
  <c r="H9" i="35"/>
  <c r="H13" i="23"/>
  <c r="H11" i="21"/>
  <c r="H11" i="30"/>
  <c r="H11" i="19"/>
  <c r="H10" i="30"/>
  <c r="H14" i="23"/>
  <c r="H9" i="21"/>
  <c r="H12" i="30"/>
  <c r="H9" i="19"/>
  <c r="H10" i="36"/>
  <c r="P159" i="6"/>
  <c r="T71" i="6"/>
  <c r="N71" i="6"/>
  <c r="L71" i="6"/>
  <c r="P71" i="6"/>
  <c r="U71" i="6"/>
  <c r="Q71" i="6"/>
  <c r="O71" i="6"/>
  <c r="H9" i="14"/>
  <c r="H12" i="26"/>
  <c r="H11" i="28"/>
  <c r="H9" i="20"/>
  <c r="H10" i="28"/>
  <c r="H14" i="24"/>
  <c r="H13" i="22"/>
  <c r="H13" i="25"/>
  <c r="H11" i="24"/>
  <c r="H10" i="29"/>
  <c r="H11" i="22"/>
  <c r="H10" i="22"/>
  <c r="H11" i="25"/>
  <c r="H10" i="25"/>
  <c r="H14" i="20"/>
  <c r="H9" i="28"/>
  <c r="H12" i="24"/>
  <c r="H9" i="24"/>
  <c r="H14" i="14"/>
  <c r="H13" i="29"/>
  <c r="H9" i="22"/>
  <c r="H9" i="25"/>
  <c r="H13" i="20"/>
  <c r="H12" i="20"/>
  <c r="H14" i="28"/>
  <c r="H10" i="24"/>
  <c r="H13" i="14"/>
  <c r="H12" i="14"/>
  <c r="H14" i="29"/>
  <c r="H11" i="29"/>
  <c r="H11" i="20"/>
  <c r="H13" i="28"/>
  <c r="H11" i="14"/>
  <c r="H12" i="29"/>
  <c r="H11" i="34"/>
  <c r="H10" i="34"/>
  <c r="H12" i="33"/>
  <c r="H9" i="33"/>
  <c r="H14" i="37"/>
  <c r="H13" i="31"/>
  <c r="H10" i="26"/>
  <c r="H12" i="16"/>
  <c r="H9" i="34"/>
  <c r="H10" i="33"/>
  <c r="H13" i="32"/>
  <c r="H12" i="32"/>
  <c r="H10" i="21"/>
  <c r="H13" i="37"/>
  <c r="H12" i="37"/>
  <c r="H9" i="30"/>
  <c r="H14" i="31"/>
  <c r="H11" i="31"/>
  <c r="H10" i="19"/>
  <c r="H11" i="26"/>
  <c r="H14" i="36"/>
  <c r="H11" i="36"/>
  <c r="H10" i="16"/>
  <c r="H14" i="26"/>
  <c r="H9" i="16"/>
  <c r="H11" i="32"/>
  <c r="H11" i="37"/>
  <c r="H12" i="31"/>
  <c r="H12" i="36"/>
  <c r="D4" i="25"/>
  <c r="G10" i="25" s="1"/>
  <c r="D4" i="22"/>
  <c r="G12" i="22" s="1"/>
  <c r="D4" i="16"/>
  <c r="G13" i="16" s="1"/>
  <c r="G11" i="20"/>
  <c r="D4" i="35"/>
  <c r="G11" i="35" s="1"/>
  <c r="G14" i="22"/>
  <c r="D4" i="41"/>
  <c r="D4" i="12"/>
  <c r="D4" i="37"/>
  <c r="D4" i="31"/>
  <c r="G12" i="31" s="1"/>
  <c r="D4" i="40"/>
  <c r="D4" i="36"/>
  <c r="G10" i="18"/>
  <c r="G11" i="25"/>
  <c r="D4" i="34"/>
  <c r="G9" i="34" s="1"/>
  <c r="D4" i="42"/>
  <c r="G14" i="42" s="1"/>
  <c r="D4" i="23"/>
  <c r="G10" i="23" s="1"/>
  <c r="D4" i="39"/>
  <c r="D4" i="33"/>
  <c r="G14" i="33" s="1"/>
  <c r="D4" i="26"/>
  <c r="G14" i="18"/>
  <c r="D4" i="28"/>
  <c r="G11" i="28" s="1"/>
  <c r="D4" i="24"/>
  <c r="G12" i="24" s="1"/>
  <c r="D4" i="14"/>
  <c r="G14" i="14" s="1"/>
  <c r="D4" i="30"/>
  <c r="G14" i="30" s="1"/>
  <c r="D4" i="38"/>
  <c r="G13" i="38" s="1"/>
  <c r="D4" i="19"/>
  <c r="G11" i="19" s="1"/>
  <c r="D4" i="32"/>
  <c r="G14" i="32" s="1"/>
  <c r="D4" i="21"/>
  <c r="G11" i="21" s="1"/>
  <c r="D4" i="29"/>
  <c r="G12" i="29" s="1"/>
  <c r="D4" i="27"/>
  <c r="G11" i="27" s="1"/>
  <c r="G13" i="35"/>
  <c r="G14" i="20"/>
  <c r="G11" i="18"/>
  <c r="G10" i="20"/>
  <c r="R162" i="6"/>
  <c r="M162" i="6"/>
  <c r="O162" i="6"/>
  <c r="P67" i="6"/>
  <c r="L162" i="6"/>
  <c r="U68" i="6"/>
  <c r="T162" i="6"/>
  <c r="U162" i="6"/>
  <c r="V68" i="6"/>
  <c r="S68" i="6"/>
  <c r="M68" i="6"/>
  <c r="P68" i="6"/>
  <c r="G11" i="37"/>
  <c r="G14" i="37"/>
  <c r="G14" i="28"/>
  <c r="G10" i="42"/>
  <c r="G13" i="18"/>
  <c r="G9" i="18"/>
  <c r="G13" i="20"/>
  <c r="G9" i="20"/>
  <c r="T159" i="6"/>
  <c r="Q159" i="6"/>
  <c r="L67" i="6"/>
  <c r="P162" i="6"/>
  <c r="S162" i="6"/>
  <c r="K162" i="6"/>
  <c r="V162" i="6"/>
  <c r="N162" i="6"/>
  <c r="N68" i="6"/>
  <c r="R68" i="6"/>
  <c r="Q68" i="6"/>
  <c r="T68" i="6"/>
  <c r="L68" i="6"/>
  <c r="K159" i="6"/>
  <c r="V159" i="6"/>
  <c r="L159" i="6"/>
  <c r="N159" i="6"/>
  <c r="K163" i="6"/>
  <c r="O159" i="6"/>
  <c r="U159" i="6"/>
  <c r="V70" i="6"/>
  <c r="U70" i="6"/>
  <c r="T163" i="6"/>
  <c r="L70" i="6"/>
  <c r="K161" i="6"/>
  <c r="M163" i="6"/>
  <c r="K70" i="6"/>
  <c r="S159" i="6"/>
  <c r="R159" i="6"/>
  <c r="R71" i="6"/>
  <c r="M71" i="6"/>
  <c r="R161" i="6"/>
  <c r="T161" i="6"/>
  <c r="N163" i="6"/>
  <c r="R67" i="6"/>
  <c r="V161" i="6"/>
  <c r="P163" i="6"/>
  <c r="L163" i="6"/>
  <c r="P70" i="6"/>
  <c r="U67" i="6"/>
  <c r="L161" i="6"/>
  <c r="U161" i="6"/>
  <c r="S163" i="6"/>
  <c r="U163" i="6"/>
  <c r="S67" i="6"/>
  <c r="S161" i="6"/>
  <c r="N161" i="6"/>
  <c r="Q161" i="6"/>
  <c r="V163" i="6"/>
  <c r="Q67" i="6"/>
  <c r="O163" i="6"/>
  <c r="R163" i="6"/>
  <c r="Q70" i="6"/>
  <c r="V67" i="6"/>
  <c r="M67" i="6"/>
  <c r="K67" i="6"/>
  <c r="O161" i="6"/>
  <c r="P161" i="6"/>
  <c r="R70" i="6"/>
  <c r="M70" i="6"/>
  <c r="S70" i="6"/>
  <c r="N70" i="6"/>
  <c r="T70" i="6"/>
  <c r="N67" i="6"/>
  <c r="T67" i="6"/>
  <c r="F69" i="6"/>
  <c r="C84" i="6" s="1"/>
  <c r="G84" i="6" s="1"/>
  <c r="C185" i="6" s="1"/>
  <c r="F160" i="6"/>
  <c r="C175" i="6" s="1"/>
  <c r="G175" i="6" s="1"/>
  <c r="D184" i="6" s="1"/>
  <c r="G9" i="22" l="1"/>
  <c r="G10" i="22"/>
  <c r="G12" i="38"/>
  <c r="G11" i="30"/>
  <c r="G9" i="16"/>
  <c r="F162" i="6"/>
  <c r="C177" i="6" s="1"/>
  <c r="G177" i="6" s="1"/>
  <c r="D186" i="6" s="1"/>
  <c r="F71" i="6"/>
  <c r="C86" i="6" s="1"/>
  <c r="G86" i="6" s="1"/>
  <c r="C187" i="6" s="1"/>
  <c r="G10" i="33"/>
  <c r="G13" i="24"/>
  <c r="G9" i="30"/>
  <c r="G12" i="30"/>
  <c r="G12" i="21"/>
  <c r="G10" i="16"/>
  <c r="G14" i="16"/>
  <c r="G13" i="29"/>
  <c r="G10" i="29"/>
  <c r="G14" i="29"/>
  <c r="G11" i="16"/>
  <c r="G12" i="16"/>
  <c r="G14" i="23"/>
  <c r="G14" i="25"/>
  <c r="G10" i="35"/>
  <c r="G10" i="38"/>
  <c r="G9" i="35"/>
  <c r="G13" i="25"/>
  <c r="G14" i="35"/>
  <c r="G13" i="22"/>
  <c r="G13" i="21"/>
  <c r="G14" i="21"/>
  <c r="G11" i="22"/>
  <c r="G9" i="25"/>
  <c r="G11" i="14"/>
  <c r="G13" i="31"/>
  <c r="G12" i="25"/>
  <c r="G12" i="35"/>
  <c r="G10" i="19"/>
  <c r="G14" i="38"/>
  <c r="G14" i="27"/>
  <c r="G9" i="32"/>
  <c r="G9" i="27"/>
  <c r="G10" i="27"/>
  <c r="G9" i="19"/>
  <c r="G14" i="19"/>
  <c r="G12" i="39"/>
  <c r="G10" i="39"/>
  <c r="G14" i="39"/>
  <c r="G11" i="39"/>
  <c r="G11" i="40"/>
  <c r="G12" i="40"/>
  <c r="G13" i="40"/>
  <c r="G9" i="40"/>
  <c r="G9" i="39"/>
  <c r="G13" i="19"/>
  <c r="G10" i="40"/>
  <c r="G12" i="27"/>
  <c r="G9" i="29"/>
  <c r="G11" i="29"/>
  <c r="G9" i="38"/>
  <c r="G11" i="38"/>
  <c r="G10" i="14"/>
  <c r="G13" i="14"/>
  <c r="G12" i="14"/>
  <c r="G9" i="14"/>
  <c r="G11" i="23"/>
  <c r="G13" i="23"/>
  <c r="G12" i="23"/>
  <c r="G9" i="23"/>
  <c r="G9" i="31"/>
  <c r="G10" i="31"/>
  <c r="G14" i="31"/>
  <c r="G11" i="31"/>
  <c r="G12" i="12"/>
  <c r="G35" i="3" s="1"/>
  <c r="E45" i="3" s="1"/>
  <c r="H45" i="3" s="1"/>
  <c r="G13" i="12"/>
  <c r="G36" i="3" s="1"/>
  <c r="E46" i="3" s="1"/>
  <c r="H46" i="3" s="1"/>
  <c r="G10" i="12"/>
  <c r="G14" i="12"/>
  <c r="G37" i="3" s="1"/>
  <c r="E47" i="3" s="1"/>
  <c r="H47" i="3" s="1"/>
  <c r="G9" i="12"/>
  <c r="G33" i="3" s="1"/>
  <c r="E43" i="3" s="1"/>
  <c r="H43" i="3" s="1"/>
  <c r="D112" i="3" s="1"/>
  <c r="F112" i="3" s="1"/>
  <c r="G112" i="3" s="1"/>
  <c r="G11" i="12"/>
  <c r="G34" i="3" s="1"/>
  <c r="E44" i="3" s="1"/>
  <c r="H44" i="3" s="1"/>
  <c r="D113" i="3" s="1"/>
  <c r="F113" i="3" s="1"/>
  <c r="G113" i="3" s="1"/>
  <c r="G10" i="32"/>
  <c r="G12" i="32"/>
  <c r="G10" i="28"/>
  <c r="G9" i="28"/>
  <c r="G12" i="28"/>
  <c r="G13" i="28"/>
  <c r="G11" i="33"/>
  <c r="G9" i="33"/>
  <c r="G12" i="33"/>
  <c r="G13" i="33"/>
  <c r="G12" i="34"/>
  <c r="G10" i="34"/>
  <c r="G14" i="34"/>
  <c r="G11" i="34"/>
  <c r="G11" i="36"/>
  <c r="G14" i="36"/>
  <c r="G10" i="36"/>
  <c r="G12" i="36"/>
  <c r="G13" i="36"/>
  <c r="G9" i="36"/>
  <c r="G13" i="39"/>
  <c r="G13" i="34"/>
  <c r="G12" i="19"/>
  <c r="G14" i="40"/>
  <c r="G11" i="32"/>
  <c r="G13" i="32"/>
  <c r="G13" i="27"/>
  <c r="G9" i="21"/>
  <c r="G10" i="21"/>
  <c r="G10" i="30"/>
  <c r="G13" i="30"/>
  <c r="G9" i="24"/>
  <c r="G10" i="24"/>
  <c r="G14" i="24"/>
  <c r="G11" i="24"/>
  <c r="G9" i="26"/>
  <c r="G13" i="26"/>
  <c r="G10" i="26"/>
  <c r="G11" i="26"/>
  <c r="G12" i="26"/>
  <c r="G14" i="26"/>
  <c r="G11" i="42"/>
  <c r="G13" i="42"/>
  <c r="G9" i="42"/>
  <c r="G12" i="42"/>
  <c r="G10" i="37"/>
  <c r="G9" i="37"/>
  <c r="G13" i="37"/>
  <c r="G12" i="37"/>
  <c r="G12" i="41"/>
  <c r="G13" i="41"/>
  <c r="G10" i="41"/>
  <c r="G14" i="41"/>
  <c r="G9" i="41"/>
  <c r="G11" i="41"/>
  <c r="F68" i="6"/>
  <c r="C83" i="6" s="1"/>
  <c r="G83" i="6" s="1"/>
  <c r="C184" i="6" s="1"/>
  <c r="E184" i="6" s="1"/>
  <c r="F184" i="6" s="1"/>
  <c r="F163" i="6"/>
  <c r="C178" i="6" s="1"/>
  <c r="G178" i="6" s="1"/>
  <c r="D187" i="6" s="1"/>
  <c r="F70" i="6"/>
  <c r="C85" i="6" s="1"/>
  <c r="G85" i="6" s="1"/>
  <c r="C186" i="6" s="1"/>
  <c r="F67" i="6"/>
  <c r="C82" i="6" s="1"/>
  <c r="G82" i="6" s="1"/>
  <c r="C183" i="6" s="1"/>
  <c r="F161" i="6"/>
  <c r="C176" i="6" s="1"/>
  <c r="G176" i="6" s="1"/>
  <c r="D185" i="6" s="1"/>
  <c r="E185" i="6" s="1"/>
  <c r="F185" i="6" s="1"/>
  <c r="F159" i="6"/>
  <c r="C174" i="6" s="1"/>
  <c r="G174" i="6" s="1"/>
  <c r="D183" i="6" s="1"/>
  <c r="E186" i="6" l="1"/>
  <c r="F186" i="6" s="1"/>
  <c r="E187" i="6"/>
  <c r="F187" i="6" s="1"/>
  <c r="E183" i="6"/>
  <c r="F183" i="6" s="1"/>
</calcChain>
</file>

<file path=xl/sharedStrings.xml><?xml version="1.0" encoding="utf-8"?>
<sst xmlns="http://schemas.openxmlformats.org/spreadsheetml/2006/main" count="1234" uniqueCount="433">
  <si>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</si>
  <si>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</si>
  <si>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</si>
  <si>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</si>
  <si>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</si>
  <si>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</si>
  <si>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</si>
  <si>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</si>
  <si>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</si>
  <si>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</si>
  <si>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</si>
  <si>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</si>
  <si>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</si>
  <si>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</si>
  <si>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</si>
  <si>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</si>
  <si>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</si>
  <si>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</si>
  <si>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</si>
  <si>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</si>
  <si>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</si>
  <si>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</si>
  <si>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</si>
  <si>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</si>
  <si>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</si>
  <si>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</si>
  <si>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</si>
  <si>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</si>
  <si>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</si>
  <si>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</si>
  <si>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</si>
  <si>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</si>
  <si>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</si>
  <si>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</si>
  <si>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</si>
  <si>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</si>
  <si>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</si>
  <si>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</si>
  <si>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</si>
  <si>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</si>
  <si>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</si>
  <si>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</si>
  <si>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</si>
  <si>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</si>
  <si>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</si>
  <si>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</si>
  <si>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</si>
  <si>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</si>
  <si>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</si>
  <si>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</si>
  <si>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</si>
  <si>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</si>
  <si>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</si>
  <si>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</si>
  <si>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</si>
  <si>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</si>
  <si>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</si>
  <si>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</si>
  <si>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</si>
  <si>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</si>
  <si>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</si>
  <si>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</si>
  <si>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</si>
  <si>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</si>
  <si>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</si>
  <si>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</si>
  <si>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</si>
  <si>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</si>
  <si>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</si>
  <si>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</si>
  <si>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</si>
  <si>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</si>
  <si>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</si>
  <si>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</si>
  <si>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</si>
  <si>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</si>
  <si>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</si>
  <si>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</si>
  <si>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</si>
  <si>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</si>
  <si>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</si>
  <si>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</si>
  <si>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</si>
  <si>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</si>
  <si>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</si>
  <si>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</si>
  <si>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</si>
  <si>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</si>
  <si>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</si>
  <si>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</si>
  <si>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</si>
  <si>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</si>
  <si>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</si>
  <si>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</si>
  <si>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</si>
  <si>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</si>
  <si>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</si>
  <si>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</si>
  <si>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</si>
  <si>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</si>
  <si>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</si>
  <si>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</si>
  <si>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</si>
  <si>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</si>
  <si>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</si>
  <si>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</si>
  <si>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</si>
  <si>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</si>
  <si>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</si>
  <si>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</si>
  <si>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</si>
  <si>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</si>
  <si>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</si>
  <si>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</si>
  <si>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</si>
  <si>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[description of the post-construction drainage area, for example, size, land use, furthest distance to outfall, etc.]</t>
  </si>
  <si>
    <t>[description of the pre-construction drainage area, for example, size, land use, furthest distance to outfall, etc.]</t>
  </si>
  <si>
    <t>Acres</t>
  </si>
  <si>
    <t xml:space="preserve">The additional x.xx cfs runoff for the 10-year design storm will be collected by...[description of outfall system].  The additional pavement and area will have no significant adverse effect downstream of the outfall.  No additional detention is necessary in this area.  </t>
  </si>
  <si>
    <t>[description of existing outfall system]</t>
  </si>
  <si>
    <t>Outfall #X [Lt./Rt.] Sta.XXX+XX (Road Name)</t>
  </si>
  <si>
    <t>[description of outfall]</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</si>
  <si>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</si>
  <si>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</si>
  <si>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</si>
  <si>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</si>
  <si>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</si>
  <si>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</si>
  <si>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</si>
  <si>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</si>
  <si>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</si>
  <si>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</si>
  <si>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</si>
  <si>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</si>
  <si>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</si>
  <si>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</si>
  <si>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</si>
  <si>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</si>
  <si>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</si>
  <si>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</si>
  <si>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</si>
  <si>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</si>
  <si>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</si>
  <si>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</si>
  <si>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</si>
  <si>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</si>
  <si>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</si>
  <si>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</si>
  <si>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</si>
  <si>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</si>
  <si>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</si>
  <si>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</si>
  <si>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</si>
  <si>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</si>
  <si>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</si>
  <si>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</si>
  <si>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</si>
  <si>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</si>
  <si>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</si>
  <si>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</si>
  <si>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</si>
  <si>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</si>
  <si>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</si>
  <si>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</si>
  <si>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</si>
  <si>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</si>
  <si>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</si>
  <si>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</si>
  <si>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</si>
  <si>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</si>
  <si>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</si>
  <si>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</si>
  <si>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</si>
  <si>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</si>
  <si>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</si>
  <si>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</si>
  <si>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</si>
  <si>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</si>
  <si>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</si>
  <si>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</si>
  <si>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</si>
  <si>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</si>
  <si>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</si>
  <si>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</si>
  <si>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</si>
  <si>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</si>
  <si>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</si>
  <si>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</si>
  <si>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</si>
  <si>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</si>
  <si>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</si>
  <si>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</si>
  <si>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</si>
  <si>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</si>
  <si>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</si>
  <si>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</si>
  <si>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</si>
  <si>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</si>
  <si>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</si>
  <si>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</si>
  <si>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</si>
  <si>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</si>
  <si>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</si>
  <si>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</si>
  <si>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</si>
  <si>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</si>
  <si>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</si>
  <si>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</si>
  <si>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</si>
  <si>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</si>
  <si>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</si>
  <si>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</si>
  <si>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</si>
  <si>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</si>
  <si>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</si>
  <si>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</si>
  <si>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</si>
  <si>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</si>
  <si>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</si>
  <si>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</si>
  <si>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</si>
  <si>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</si>
  <si>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</si>
  <si>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</si>
  <si>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</si>
  <si>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</si>
  <si>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</si>
  <si>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</si>
  <si>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</si>
  <si>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</si>
  <si>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</si>
  <si>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</si>
  <si>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</si>
  <si>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</si>
  <si>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</si>
  <si>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</si>
  <si>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</si>
  <si>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</si>
  <si>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</si>
  <si>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</si>
  <si>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</si>
  <si>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</si>
  <si>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</si>
  <si>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</si>
  <si>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</si>
  <si>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</si>
  <si>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</si>
  <si>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</si>
  <si>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</si>
  <si>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</si>
  <si>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</si>
  <si>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</si>
  <si>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</si>
  <si>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</si>
  <si>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</si>
  <si>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</si>
  <si>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</si>
  <si>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</si>
  <si>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</si>
  <si>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</si>
  <si>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</si>
  <si>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</si>
  <si>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</si>
  <si>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</si>
  <si>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</si>
  <si>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</si>
  <si>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</si>
  <si>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</si>
  <si>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</si>
  <si>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</si>
  <si>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</si>
  <si>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</si>
  <si>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</si>
  <si>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</si>
  <si>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</si>
  <si>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</si>
  <si>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</si>
  <si>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</si>
  <si>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</si>
  <si>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</si>
  <si>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</si>
  <si>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</si>
  <si>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</si>
  <si>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</si>
  <si>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</si>
  <si>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</si>
  <si>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</si>
  <si>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</si>
  <si>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</si>
  <si>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</si>
  <si>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</si>
  <si>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</si>
  <si>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</si>
  <si>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</si>
  <si>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</si>
  <si>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</si>
  <si>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</si>
  <si>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</si>
  <si>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</si>
  <si>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</si>
  <si>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</si>
  <si>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</si>
  <si>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</si>
  <si>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</si>
  <si>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</si>
  <si>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</si>
  <si>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</si>
  <si>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</si>
  <si>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</si>
  <si>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</si>
  <si>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</si>
  <si>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</si>
  <si>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</si>
  <si>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</si>
  <si>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</si>
  <si>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</si>
  <si>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</si>
  <si>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</si>
  <si>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</si>
  <si>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</si>
  <si>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</si>
  <si>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</si>
  <si>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</si>
  <si>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</si>
  <si>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</si>
  <si>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</si>
  <si>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</si>
  <si>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</si>
  <si>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</si>
  <si>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</si>
  <si>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</si>
  <si>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</si>
  <si>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</si>
  <si>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</si>
  <si>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</si>
  <si>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</si>
  <si>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</si>
  <si>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</si>
  <si>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</si>
  <si>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</si>
  <si>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</si>
  <si>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</si>
  <si>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</si>
  <si>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</si>
  <si>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</si>
  <si>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</si>
  <si>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</si>
  <si>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</si>
  <si>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</si>
  <si>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</si>
  <si>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</si>
  <si>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</si>
  <si>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</si>
  <si>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</si>
  <si>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</si>
  <si>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</si>
  <si>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</si>
  <si>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</si>
  <si>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</si>
  <si>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</si>
  <si>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</si>
  <si>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</si>
  <si>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</si>
  <si>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</si>
  <si>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</si>
  <si>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</si>
  <si>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</si>
  <si>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</si>
  <si>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</si>
  <si>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</si>
  <si>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</si>
  <si>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</si>
  <si>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</si>
  <si>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</si>
  <si>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</si>
  <si>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</si>
  <si>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</si>
  <si>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</si>
  <si>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</si>
  <si>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</si>
  <si>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</si>
  <si>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</si>
  <si>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</si>
  <si>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</si>
  <si>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</si>
  <si>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</si>
  <si>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</si>
  <si>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</si>
  <si>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</si>
  <si>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</si>
  <si>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</si>
  <si>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</si>
  <si>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</si>
  <si>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</si>
  <si>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</si>
  <si>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</si>
  <si>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</si>
  <si>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</si>
  <si>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</si>
  <si>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</si>
  <si>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</si>
  <si>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</si>
  <si>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</si>
  <si>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</si>
  <si>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</si>
  <si>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</si>
  <si>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</si>
  <si>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</si>
  <si>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</si>
  <si>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</si>
  <si>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</si>
  <si>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</si>
  <si>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</si>
  <si>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</si>
  <si>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</si>
  <si>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</si>
  <si>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</si>
  <si>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</si>
  <si>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</si>
  <si>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</si>
  <si>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</si>
  <si>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</si>
  <si>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</si>
  <si>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</si>
  <si>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</si>
  <si>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 xml:space="preserve">The proposed construction within the watershed includes pavement addition. The proposed construction results in an increase in impervious area as a result of the addition of traffic lanes on I-20 and drains to Outfall #9. </t>
  </si>
  <si>
    <t>Runoff from the existing watershed flows overland and into a stream then flows through a box culvert under I-20 and continues through the same stream to Twelvemile Creek.</t>
  </si>
  <si>
    <t>8/27/2015</t>
  </si>
  <si>
    <t>Sta. 340+25</t>
  </si>
  <si>
    <t xml:space="preserve">The additional 5.60 cfs runoff for the 10-year design storm will be collected by a stream that flows under I-20 at .  approximate Sta. 340+00.  The additional pavement will have no significant adverse effect downstream of the outfall.  No additional detention is necessary in this area.  </t>
  </si>
  <si>
    <t>Outfall #9 - Lt. Sta. 340+25</t>
  </si>
  <si>
    <t>The widening will take place from U.S. Route 378 to Longs Pond Road which is approximately 14 miles. The existing watersheds along the interstate are primarily developed areas along with large wooded areas. The total drainage area to Outfall #9 is approximately 600 acres. The existing watershed includes, grassed areas, paved areas, large wooded areas, commercial areas, and residential areas adjacent to I-20.</t>
  </si>
  <si>
    <t>Unnamed Tributary to Twelvemile Creek</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</si>
</sst>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21">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0" fontId="9" fillId="3" borderId="0" xfId="0" applyFont="1" applyFill="1" applyAlignment="1" applyProtection="1">
      <alignment horizontal="center"/>
      <protection locked="0"/>
    </xf>
    <xf numFmtId="2" fontId="9" fillId="3" borderId="0" xfId="1" applyNumberFormat="1" applyFont="1" applyFill="1" applyAlignment="1" applyProtection="1">
      <alignment horizontal="center"/>
      <protection locked="0"/>
    </xf>
    <xf numFmtId="49" fontId="1" fillId="3" borderId="0" xfId="0" applyNumberFormat="1"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3" borderId="0" xfId="0" applyFont="1" applyFill="1" applyAlignment="1" applyProtection="1">
      <alignment horizontal="center"/>
      <protection locked="0"/>
    </xf>
    <xf numFmtId="0" fontId="4" fillId="3" borderId="0" xfId="0" applyFont="1" applyFill="1" applyAlignment="1" applyProtection="1">
      <alignment horizontal="left"/>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0" borderId="0" xfId="0" applyFont="1" applyAlignment="1" applyProtection="1">
      <alignment horizontal="left" wrapText="1"/>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9" fillId="0" borderId="0" xfId="1" applyFont="1" applyAlignment="1" applyProtection="1">
      <alignment horizontal="center"/>
    </xf>
    <xf numFmtId="0" fontId="1"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61907072"/>
        <c:axId val="161908992"/>
      </c:scatterChart>
      <c:valAx>
        <c:axId val="161907072"/>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1908992"/>
        <c:crosses val="autoZero"/>
        <c:crossBetween val="midCat"/>
      </c:valAx>
      <c:valAx>
        <c:axId val="16190899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1907072"/>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62036736"/>
        <c:axId val="162038912"/>
      </c:scatterChart>
      <c:valAx>
        <c:axId val="16203673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2038912"/>
        <c:crosses val="autoZero"/>
        <c:crossBetween val="midCat"/>
      </c:valAx>
      <c:valAx>
        <c:axId val="162038912"/>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203673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63575680"/>
        <c:axId val="163577856"/>
      </c:scatterChart>
      <c:valAx>
        <c:axId val="1635756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3577856"/>
        <c:crosses val="autoZero"/>
        <c:crossBetween val="midCat"/>
      </c:valAx>
      <c:valAx>
        <c:axId val="163577856"/>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35756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66431744"/>
        <c:axId val="166454400"/>
      </c:scatterChart>
      <c:valAx>
        <c:axId val="16643174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454400"/>
        <c:crosses val="autoZero"/>
        <c:crossBetween val="midCat"/>
      </c:valAx>
      <c:valAx>
        <c:axId val="16645440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43174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148</v>
      </c>
      <c r="B1" t="s">
        <v>147</v>
      </c>
      <c r="K1" t="s">
        <v>420</v>
      </c>
    </row>
    <row r="2" spans="1:11" x14ac:dyDescent="0.2">
      <c r="A2" s="3" t="s">
        <v>149</v>
      </c>
      <c r="K2" t="s">
        <v>421</v>
      </c>
    </row>
    <row r="3" spans="1:11" x14ac:dyDescent="0.2">
      <c r="A3" s="3" t="s">
        <v>150</v>
      </c>
    </row>
    <row r="4" spans="1:11" x14ac:dyDescent="0.2">
      <c r="A4" s="3" t="s">
        <v>151</v>
      </c>
    </row>
    <row r="5" spans="1:11" x14ac:dyDescent="0.2">
      <c r="A5" s="3" t="s">
        <v>152</v>
      </c>
    </row>
    <row r="6" spans="1:11" x14ac:dyDescent="0.2">
      <c r="A6" s="3" t="s">
        <v>153</v>
      </c>
    </row>
    <row r="7" spans="1:11" x14ac:dyDescent="0.2">
      <c r="A7" s="3" t="s">
        <v>154</v>
      </c>
    </row>
    <row r="8" spans="1:11" x14ac:dyDescent="0.2">
      <c r="A8" s="3" t="s">
        <v>155</v>
      </c>
    </row>
    <row r="9" spans="1:11" x14ac:dyDescent="0.2">
      <c r="A9" s="3" t="s">
        <v>156</v>
      </c>
    </row>
    <row r="10" spans="1:11" x14ac:dyDescent="0.2">
      <c r="A10" s="3" t="s">
        <v>157</v>
      </c>
    </row>
    <row r="11" spans="1:11" x14ac:dyDescent="0.2">
      <c r="A11" s="3" t="s">
        <v>158</v>
      </c>
    </row>
    <row r="12" spans="1:11" x14ac:dyDescent="0.2">
      <c r="A12" s="3" t="s">
        <v>159</v>
      </c>
    </row>
    <row r="13" spans="1:11" x14ac:dyDescent="0.2">
      <c r="A13" s="3" t="s">
        <v>160</v>
      </c>
    </row>
    <row r="14" spans="1:11" x14ac:dyDescent="0.2">
      <c r="A14" s="3" t="s">
        <v>161</v>
      </c>
    </row>
    <row r="15" spans="1:11" x14ac:dyDescent="0.2">
      <c r="A15" s="3" t="s">
        <v>162</v>
      </c>
    </row>
    <row r="16" spans="1:11" x14ac:dyDescent="0.2">
      <c r="A16" s="3" t="s">
        <v>163</v>
      </c>
    </row>
    <row r="17" spans="1:1" x14ac:dyDescent="0.2">
      <c r="A17" s="3" t="s">
        <v>164</v>
      </c>
    </row>
    <row r="18" spans="1:1" x14ac:dyDescent="0.2">
      <c r="A18" s="3" t="s">
        <v>165</v>
      </c>
    </row>
    <row r="19" spans="1:1" x14ac:dyDescent="0.2">
      <c r="A19" s="3" t="s">
        <v>166</v>
      </c>
    </row>
    <row r="20" spans="1:1" x14ac:dyDescent="0.2">
      <c r="A20" s="3" t="s">
        <v>167</v>
      </c>
    </row>
    <row r="21" spans="1:1" x14ac:dyDescent="0.2">
      <c r="A21" s="3" t="s">
        <v>168</v>
      </c>
    </row>
    <row r="22" spans="1:1" x14ac:dyDescent="0.2">
      <c r="A22" s="3" t="s">
        <v>169</v>
      </c>
    </row>
    <row r="23" spans="1:1" x14ac:dyDescent="0.2">
      <c r="A23" s="3" t="s">
        <v>170</v>
      </c>
    </row>
    <row r="24" spans="1:1" x14ac:dyDescent="0.2">
      <c r="A24" s="3" t="s">
        <v>171</v>
      </c>
    </row>
    <row r="25" spans="1:1" x14ac:dyDescent="0.2">
      <c r="A25" s="3" t="s">
        <v>179</v>
      </c>
    </row>
    <row r="26" spans="1:1" x14ac:dyDescent="0.2">
      <c r="A26" s="3" t="s">
        <v>172</v>
      </c>
    </row>
    <row r="27" spans="1:1" x14ac:dyDescent="0.2">
      <c r="A27" s="3" t="s">
        <v>173</v>
      </c>
    </row>
    <row r="28" spans="1:1" x14ac:dyDescent="0.2">
      <c r="A28" s="3" t="s">
        <v>174</v>
      </c>
    </row>
    <row r="29" spans="1:1" x14ac:dyDescent="0.2">
      <c r="A29" s="3" t="s">
        <v>175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152</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1.6029833074892685</v>
      </c>
      <c r="H9" s="9">
        <f t="shared" ref="H9:H14" si="1">B9/(C9+$D$5)^D9</f>
        <v>1.6029833074892685</v>
      </c>
      <c r="J9" s="29"/>
      <c r="K9" s="29"/>
      <c r="L9" s="30"/>
    </row>
    <row r="10" spans="1:12" x14ac:dyDescent="0.2">
      <c r="A10" s="31">
        <v>5</v>
      </c>
      <c r="B10" s="34">
        <v>261.13655</v>
      </c>
      <c r="C10" s="30">
        <v>32.358699999999999</v>
      </c>
      <c r="D10" s="30">
        <v>1.01519</v>
      </c>
      <c r="E10" s="29"/>
      <c r="F10" s="29"/>
      <c r="G10" s="9">
        <f t="shared" si="0"/>
        <v>1.801006601324906</v>
      </c>
      <c r="H10" s="9">
        <f t="shared" si="1"/>
        <v>1.801006601324906</v>
      </c>
      <c r="J10" s="29"/>
      <c r="K10" s="29"/>
      <c r="L10" s="30"/>
    </row>
    <row r="11" spans="1:12" x14ac:dyDescent="0.2">
      <c r="A11" s="31">
        <v>10</v>
      </c>
      <c r="B11" s="34">
        <v>269.52906000000002</v>
      </c>
      <c r="C11" s="30">
        <v>31.104620000000001</v>
      </c>
      <c r="D11" s="30">
        <v>1.0071399999999999</v>
      </c>
      <c r="E11" s="29"/>
      <c r="F11" s="29"/>
      <c r="G11" s="35">
        <f t="shared" si="0"/>
        <v>1.9520298399170202</v>
      </c>
      <c r="H11" s="118">
        <f t="shared" si="1"/>
        <v>1.9520298399170202</v>
      </c>
      <c r="J11" s="29"/>
      <c r="K11" s="29"/>
      <c r="L11" s="30"/>
    </row>
    <row r="12" spans="1:12" x14ac:dyDescent="0.2">
      <c r="A12" s="31">
        <v>25</v>
      </c>
      <c r="B12" s="34">
        <v>281.11392999999998</v>
      </c>
      <c r="C12" s="30">
        <v>29.392219999999998</v>
      </c>
      <c r="D12" s="30">
        <v>0.99607000000000001</v>
      </c>
      <c r="E12" s="29"/>
      <c r="F12" s="29"/>
      <c r="G12" s="9">
        <f t="shared" si="0"/>
        <v>2.1770980401218041</v>
      </c>
      <c r="H12" s="9">
        <f t="shared" si="1"/>
        <v>2.1770980401218041</v>
      </c>
      <c r="J12" s="29"/>
      <c r="K12" s="29"/>
      <c r="L12" s="30"/>
    </row>
    <row r="13" spans="1:12" x14ac:dyDescent="0.2">
      <c r="A13" s="31">
        <v>50</v>
      </c>
      <c r="B13" s="34">
        <v>289.29525999999998</v>
      </c>
      <c r="C13" s="30">
        <v>28.173349999999999</v>
      </c>
      <c r="D13" s="30">
        <v>0.98823000000000005</v>
      </c>
      <c r="E13" s="29"/>
      <c r="F13" s="29"/>
      <c r="G13" s="9">
        <f t="shared" si="0"/>
        <v>2.3493373340804311</v>
      </c>
      <c r="H13" s="9">
        <f t="shared" si="1"/>
        <v>2.3493373340804311</v>
      </c>
    </row>
    <row r="14" spans="1:12" x14ac:dyDescent="0.2">
      <c r="A14" s="31">
        <v>100</v>
      </c>
      <c r="B14" s="34">
        <v>296.80041999999997</v>
      </c>
      <c r="C14" s="30">
        <v>27.025970000000001</v>
      </c>
      <c r="D14" s="30">
        <v>0.98097000000000001</v>
      </c>
      <c r="E14" s="29"/>
      <c r="F14" s="29"/>
      <c r="G14" s="9">
        <f t="shared" si="0"/>
        <v>2.5187824647509638</v>
      </c>
      <c r="H14" s="9">
        <f t="shared" si="1"/>
        <v>2.5187824647509638</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153</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1.511295042048785</v>
      </c>
      <c r="H9" s="9">
        <f t="shared" ref="H9:H14" si="1">B9/(C9+$D$5)^D9</f>
        <v>1.511295042048785</v>
      </c>
      <c r="J9" s="29"/>
      <c r="K9" s="29"/>
      <c r="L9" s="30"/>
    </row>
    <row r="10" spans="1:12" x14ac:dyDescent="0.2">
      <c r="A10" s="31">
        <v>5</v>
      </c>
      <c r="B10" s="34">
        <v>257.07785999999999</v>
      </c>
      <c r="C10" s="30">
        <v>32.97428</v>
      </c>
      <c r="D10" s="30">
        <v>1.01911</v>
      </c>
      <c r="E10" s="29"/>
      <c r="F10" s="29"/>
      <c r="G10" s="9">
        <f t="shared" si="0"/>
        <v>1.7311986043101797</v>
      </c>
      <c r="H10" s="9">
        <f t="shared" si="1"/>
        <v>1.7311986043101797</v>
      </c>
      <c r="J10" s="29"/>
      <c r="K10" s="29"/>
      <c r="L10" s="30"/>
    </row>
    <row r="11" spans="1:12" x14ac:dyDescent="0.2">
      <c r="A11" s="31">
        <v>10</v>
      </c>
      <c r="B11" s="34">
        <v>266.55779000000001</v>
      </c>
      <c r="C11" s="30">
        <v>31.546500000000002</v>
      </c>
      <c r="D11" s="30">
        <v>1.0099800000000001</v>
      </c>
      <c r="E11" s="29"/>
      <c r="F11" s="29"/>
      <c r="G11" s="35">
        <f t="shared" si="0"/>
        <v>1.8975191027077436</v>
      </c>
      <c r="H11" s="118">
        <f t="shared" si="1"/>
        <v>1.8975191027077436</v>
      </c>
      <c r="J11" s="29"/>
      <c r="K11" s="29"/>
      <c r="L11" s="30"/>
    </row>
    <row r="12" spans="1:12" x14ac:dyDescent="0.2">
      <c r="A12" s="31">
        <v>25</v>
      </c>
      <c r="B12" s="34">
        <v>278.96244000000002</v>
      </c>
      <c r="C12" s="30">
        <v>29.710239999999999</v>
      </c>
      <c r="D12" s="30">
        <v>0.99812999999999996</v>
      </c>
      <c r="E12" s="29"/>
      <c r="F12" s="29"/>
      <c r="G12" s="9">
        <f t="shared" si="0"/>
        <v>2.1336807454839799</v>
      </c>
      <c r="H12" s="9">
        <f t="shared" si="1"/>
        <v>2.1336807454839799</v>
      </c>
      <c r="J12" s="29"/>
      <c r="K12" s="29"/>
      <c r="L12" s="30"/>
    </row>
    <row r="13" spans="1:12" x14ac:dyDescent="0.2">
      <c r="A13" s="31">
        <v>50</v>
      </c>
      <c r="B13" s="34">
        <v>287.88720999999998</v>
      </c>
      <c r="C13" s="30">
        <v>28.385120000000001</v>
      </c>
      <c r="D13" s="30">
        <v>0.98958999999999997</v>
      </c>
      <c r="E13" s="29"/>
      <c r="F13" s="29"/>
      <c r="G13" s="9">
        <f t="shared" si="0"/>
        <v>2.3187411643825371</v>
      </c>
      <c r="H13" s="9">
        <f t="shared" si="1"/>
        <v>2.3187411643825371</v>
      </c>
    </row>
    <row r="14" spans="1:12" x14ac:dyDescent="0.2">
      <c r="A14" s="31">
        <v>100</v>
      </c>
      <c r="B14" s="34">
        <v>295.79777999999999</v>
      </c>
      <c r="C14" s="30">
        <v>27.182759999999998</v>
      </c>
      <c r="D14" s="30">
        <v>0.98194999999999999</v>
      </c>
      <c r="E14" s="29"/>
      <c r="F14" s="29"/>
      <c r="G14" s="9">
        <f t="shared" si="0"/>
        <v>2.4953694523175036</v>
      </c>
      <c r="H14" s="9">
        <f t="shared" si="1"/>
        <v>2.4953694523175036</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154</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1.6465004427240126</v>
      </c>
      <c r="H9" s="9">
        <f t="shared" ref="H9:H14" si="1">B9/(C9+$D$5)^D9</f>
        <v>1.6465004427240126</v>
      </c>
      <c r="J9" s="29"/>
      <c r="K9" s="29"/>
      <c r="L9" s="30"/>
    </row>
    <row r="10" spans="1:12" x14ac:dyDescent="0.2">
      <c r="A10" s="31">
        <v>5</v>
      </c>
      <c r="B10" s="34">
        <v>262.87945999999999</v>
      </c>
      <c r="C10" s="30">
        <v>32.09639</v>
      </c>
      <c r="D10" s="30">
        <v>1.0135099999999999</v>
      </c>
      <c r="E10" s="29"/>
      <c r="F10" s="29"/>
      <c r="G10" s="9">
        <f t="shared" si="0"/>
        <v>1.8316383630487083</v>
      </c>
      <c r="H10" s="9">
        <f t="shared" si="1"/>
        <v>1.8316383630487083</v>
      </c>
      <c r="J10" s="29"/>
      <c r="K10" s="29"/>
      <c r="L10" s="30"/>
    </row>
    <row r="11" spans="1:12" x14ac:dyDescent="0.2">
      <c r="A11" s="31">
        <v>10</v>
      </c>
      <c r="B11" s="34">
        <v>270.85088000000002</v>
      </c>
      <c r="C11" s="30">
        <v>30.90869</v>
      </c>
      <c r="D11" s="30">
        <v>1.00587</v>
      </c>
      <c r="E11" s="29"/>
      <c r="F11" s="29"/>
      <c r="G11" s="35">
        <f t="shared" si="0"/>
        <v>1.9767519694052174</v>
      </c>
      <c r="H11" s="118">
        <f t="shared" si="1"/>
        <v>1.9767519694052174</v>
      </c>
      <c r="J11" s="29"/>
      <c r="K11" s="29"/>
      <c r="L11" s="30"/>
    </row>
    <row r="12" spans="1:12" x14ac:dyDescent="0.2">
      <c r="A12" s="31">
        <v>25</v>
      </c>
      <c r="B12" s="34">
        <v>282.02145000000002</v>
      </c>
      <c r="C12" s="30">
        <v>29.25788</v>
      </c>
      <c r="D12" s="30">
        <v>0.99519999999999997</v>
      </c>
      <c r="E12" s="29"/>
      <c r="F12" s="29"/>
      <c r="G12" s="9">
        <f t="shared" si="0"/>
        <v>2.1956491131588591</v>
      </c>
      <c r="H12" s="9">
        <f t="shared" si="1"/>
        <v>2.1956491131588591</v>
      </c>
      <c r="J12" s="29"/>
      <c r="K12" s="29"/>
      <c r="L12" s="30"/>
    </row>
    <row r="13" spans="1:12" x14ac:dyDescent="0.2">
      <c r="A13" s="31">
        <v>50</v>
      </c>
      <c r="B13" s="34">
        <v>289.91899000000001</v>
      </c>
      <c r="C13" s="30">
        <v>28.07921</v>
      </c>
      <c r="D13" s="30">
        <v>0.98763000000000001</v>
      </c>
      <c r="E13" s="29"/>
      <c r="F13" s="29"/>
      <c r="G13" s="9">
        <f t="shared" si="0"/>
        <v>2.3629778730391187</v>
      </c>
      <c r="H13" s="9">
        <f t="shared" si="1"/>
        <v>2.3629778730391187</v>
      </c>
    </row>
    <row r="14" spans="1:12" x14ac:dyDescent="0.2">
      <c r="A14" s="31">
        <v>100</v>
      </c>
      <c r="B14" s="34">
        <v>297.13936999999999</v>
      </c>
      <c r="C14" s="30">
        <v>26.972190000000001</v>
      </c>
      <c r="D14" s="30">
        <v>0.98063999999999996</v>
      </c>
      <c r="E14" s="29"/>
      <c r="F14" s="29"/>
      <c r="G14" s="9">
        <f t="shared" si="0"/>
        <v>2.5267388831664022</v>
      </c>
      <c r="H14" s="9">
        <f t="shared" si="1"/>
        <v>2.5267388831664022</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155</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1.5536877944138419</v>
      </c>
      <c r="H9" s="9">
        <f t="shared" ref="H9:H14" si="1">B9/(C9+$D$5)^D9</f>
        <v>1.5536877944138419</v>
      </c>
      <c r="J9" s="29"/>
      <c r="K9" s="29"/>
      <c r="L9" s="30"/>
    </row>
    <row r="10" spans="1:12" x14ac:dyDescent="0.2">
      <c r="A10" s="31">
        <v>5</v>
      </c>
      <c r="B10" s="34">
        <v>261.15915999999999</v>
      </c>
      <c r="C10" s="30">
        <v>32.355730000000001</v>
      </c>
      <c r="D10" s="30">
        <v>1.0151699999999999</v>
      </c>
      <c r="E10" s="29"/>
      <c r="F10" s="29"/>
      <c r="G10" s="9">
        <f t="shared" si="0"/>
        <v>1.8013794950997728</v>
      </c>
      <c r="H10" s="9">
        <f t="shared" si="1"/>
        <v>1.8013794950997728</v>
      </c>
      <c r="J10" s="29"/>
      <c r="K10" s="29"/>
      <c r="L10" s="30"/>
    </row>
    <row r="11" spans="1:12" x14ac:dyDescent="0.2">
      <c r="A11" s="31">
        <v>10</v>
      </c>
      <c r="B11" s="34">
        <v>270.24815000000001</v>
      </c>
      <c r="C11" s="30">
        <v>30.998100000000001</v>
      </c>
      <c r="D11" s="30">
        <v>1.0064500000000001</v>
      </c>
      <c r="E11" s="29"/>
      <c r="F11" s="29"/>
      <c r="G11" s="35">
        <f t="shared" si="0"/>
        <v>1.9654369990600327</v>
      </c>
      <c r="H11" s="118">
        <f t="shared" si="1"/>
        <v>1.9654369990600327</v>
      </c>
      <c r="J11" s="29"/>
      <c r="K11" s="29"/>
      <c r="L11" s="30"/>
    </row>
    <row r="12" spans="1:12" x14ac:dyDescent="0.2">
      <c r="A12" s="31">
        <v>25</v>
      </c>
      <c r="B12" s="34">
        <v>281.57326999999998</v>
      </c>
      <c r="C12" s="30">
        <v>29.324300000000001</v>
      </c>
      <c r="D12" s="30">
        <v>0.99563000000000001</v>
      </c>
      <c r="E12" s="29"/>
      <c r="F12" s="29"/>
      <c r="G12" s="9">
        <f t="shared" si="0"/>
        <v>2.186466023633364</v>
      </c>
      <c r="H12" s="9">
        <f t="shared" si="1"/>
        <v>2.186466023633364</v>
      </c>
      <c r="J12" s="29"/>
      <c r="K12" s="29"/>
      <c r="L12" s="30"/>
    </row>
    <row r="13" spans="1:12" x14ac:dyDescent="0.2">
      <c r="A13" s="31">
        <v>50</v>
      </c>
      <c r="B13" s="34">
        <v>289.32177999999999</v>
      </c>
      <c r="C13" s="30">
        <v>28.169709999999998</v>
      </c>
      <c r="D13" s="30">
        <v>0.98821000000000003</v>
      </c>
      <c r="E13" s="29"/>
      <c r="F13" s="29"/>
      <c r="G13" s="9">
        <f t="shared" si="0"/>
        <v>2.3498464062879925</v>
      </c>
      <c r="H13" s="9">
        <f t="shared" si="1"/>
        <v>2.3498464062879925</v>
      </c>
    </row>
    <row r="14" spans="1:12" x14ac:dyDescent="0.2">
      <c r="A14" s="31">
        <v>100</v>
      </c>
      <c r="B14" s="34">
        <v>296.25407000000001</v>
      </c>
      <c r="C14" s="30">
        <v>27.111529999999998</v>
      </c>
      <c r="D14" s="30">
        <v>0.98150000000000004</v>
      </c>
      <c r="E14" s="29"/>
      <c r="F14" s="29"/>
      <c r="G14" s="9">
        <f t="shared" si="0"/>
        <v>2.5060477453773715</v>
      </c>
      <c r="H14" s="9">
        <f t="shared" si="1"/>
        <v>2.5060477453773715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156</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1.5948273488595224</v>
      </c>
      <c r="H9" s="9">
        <f t="shared" ref="H9:H14" si="1">B9/(C9+$D$5)^D9</f>
        <v>1.5948273488595224</v>
      </c>
      <c r="J9" s="29"/>
      <c r="K9" s="29"/>
      <c r="L9" s="30"/>
    </row>
    <row r="10" spans="1:12" x14ac:dyDescent="0.2">
      <c r="A10" s="31">
        <v>5</v>
      </c>
      <c r="B10" s="34">
        <v>263.71406000000002</v>
      </c>
      <c r="C10" s="30">
        <v>31.971609999999998</v>
      </c>
      <c r="D10" s="30">
        <v>1.01271</v>
      </c>
      <c r="E10" s="29"/>
      <c r="F10" s="29"/>
      <c r="G10" s="9">
        <f t="shared" si="0"/>
        <v>1.8464078497957712</v>
      </c>
      <c r="H10" s="9">
        <f t="shared" si="1"/>
        <v>1.8464078497957712</v>
      </c>
      <c r="J10" s="29"/>
      <c r="K10" s="29"/>
      <c r="L10" s="30"/>
    </row>
    <row r="11" spans="1:12" x14ac:dyDescent="0.2">
      <c r="A11" s="31">
        <v>10</v>
      </c>
      <c r="B11" s="34">
        <v>272.73104999999998</v>
      </c>
      <c r="C11" s="30">
        <v>30.63053</v>
      </c>
      <c r="D11" s="30">
        <v>1.0040800000000001</v>
      </c>
      <c r="E11" s="29"/>
      <c r="F11" s="29"/>
      <c r="G11" s="35">
        <f t="shared" si="0"/>
        <v>2.0121994308003543</v>
      </c>
      <c r="H11" s="118">
        <f t="shared" si="1"/>
        <v>2.0121994308003543</v>
      </c>
      <c r="J11" s="29"/>
      <c r="K11" s="29"/>
      <c r="L11" s="30"/>
    </row>
    <row r="12" spans="1:12" x14ac:dyDescent="0.2">
      <c r="A12" s="31">
        <v>25</v>
      </c>
      <c r="B12" s="34">
        <v>284.08978999999999</v>
      </c>
      <c r="C12" s="30">
        <v>28.951280000000001</v>
      </c>
      <c r="D12" s="30">
        <v>0.99322999999999995</v>
      </c>
      <c r="E12" s="29"/>
      <c r="F12" s="29"/>
      <c r="G12" s="9">
        <f t="shared" si="0"/>
        <v>2.2382965220297448</v>
      </c>
      <c r="H12" s="9">
        <f t="shared" si="1"/>
        <v>2.2382965220297448</v>
      </c>
      <c r="J12" s="29"/>
      <c r="K12" s="29"/>
      <c r="L12" s="30"/>
    </row>
    <row r="13" spans="1:12" x14ac:dyDescent="0.2">
      <c r="A13" s="31">
        <v>50</v>
      </c>
      <c r="B13" s="34">
        <v>291.79401000000001</v>
      </c>
      <c r="C13" s="30">
        <v>27.79608</v>
      </c>
      <c r="D13" s="30">
        <v>0.98582999999999998</v>
      </c>
      <c r="E13" s="29"/>
      <c r="F13" s="29"/>
      <c r="G13" s="9">
        <f t="shared" si="0"/>
        <v>2.4043493723078933</v>
      </c>
      <c r="H13" s="9">
        <f t="shared" si="1"/>
        <v>2.4043493723078933</v>
      </c>
    </row>
    <row r="14" spans="1:12" x14ac:dyDescent="0.2">
      <c r="A14" s="31">
        <v>100</v>
      </c>
      <c r="B14" s="34">
        <v>298.59854000000001</v>
      </c>
      <c r="C14" s="30">
        <v>26.744620000000001</v>
      </c>
      <c r="D14" s="30">
        <v>0.97921000000000002</v>
      </c>
      <c r="E14" s="29"/>
      <c r="F14" s="29"/>
      <c r="G14" s="9">
        <f t="shared" si="0"/>
        <v>2.5612776562915673</v>
      </c>
      <c r="H14" s="9">
        <f t="shared" si="1"/>
        <v>2.5612776562915673</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157</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1.524932302839725</v>
      </c>
      <c r="H9" s="9">
        <f t="shared" ref="H9:H14" si="1">B9/(C9+$D$5)^D9</f>
        <v>1.524932302839725</v>
      </c>
      <c r="J9" s="29"/>
      <c r="K9" s="29"/>
      <c r="L9" s="30"/>
    </row>
    <row r="10" spans="1:12" x14ac:dyDescent="0.2">
      <c r="A10" s="31">
        <v>5</v>
      </c>
      <c r="B10" s="34">
        <v>258.50572</v>
      </c>
      <c r="C10" s="30">
        <v>32.756839999999997</v>
      </c>
      <c r="D10" s="30">
        <v>1.01773</v>
      </c>
      <c r="E10" s="29"/>
      <c r="F10" s="29"/>
      <c r="G10" s="9">
        <f t="shared" si="0"/>
        <v>1.7555149920871966</v>
      </c>
      <c r="H10" s="9">
        <f t="shared" si="1"/>
        <v>1.7555149920871966</v>
      </c>
      <c r="J10" s="29"/>
      <c r="K10" s="29"/>
      <c r="L10" s="30"/>
    </row>
    <row r="11" spans="1:12" x14ac:dyDescent="0.2">
      <c r="A11" s="31">
        <v>10</v>
      </c>
      <c r="B11" s="34">
        <v>267.54246999999998</v>
      </c>
      <c r="C11" s="30">
        <v>31.39986</v>
      </c>
      <c r="D11" s="30">
        <v>1.0090399999999999</v>
      </c>
      <c r="E11" s="29"/>
      <c r="F11" s="29"/>
      <c r="G11" s="35">
        <f t="shared" si="0"/>
        <v>1.9154328353147316</v>
      </c>
      <c r="H11" s="118">
        <f t="shared" si="1"/>
        <v>1.9154328353147316</v>
      </c>
      <c r="J11" s="29"/>
      <c r="K11" s="29"/>
      <c r="L11" s="30"/>
    </row>
    <row r="12" spans="1:12" x14ac:dyDescent="0.2">
      <c r="A12" s="31">
        <v>25</v>
      </c>
      <c r="B12" s="34">
        <v>279.77346</v>
      </c>
      <c r="C12" s="30">
        <v>29.590430000000001</v>
      </c>
      <c r="D12" s="30">
        <v>0.99734999999999996</v>
      </c>
      <c r="E12" s="29"/>
      <c r="F12" s="29"/>
      <c r="G12" s="9">
        <f t="shared" si="0"/>
        <v>2.149995806847079</v>
      </c>
      <c r="H12" s="9">
        <f t="shared" si="1"/>
        <v>2.149995806847079</v>
      </c>
      <c r="J12" s="29"/>
      <c r="K12" s="29"/>
      <c r="L12" s="30"/>
    </row>
    <row r="13" spans="1:12" x14ac:dyDescent="0.2">
      <c r="A13" s="31">
        <v>50</v>
      </c>
      <c r="B13" s="34">
        <v>288.71309000000002</v>
      </c>
      <c r="C13" s="30">
        <v>28.26125</v>
      </c>
      <c r="D13" s="30">
        <v>0.98878999999999995</v>
      </c>
      <c r="E13" s="29"/>
      <c r="F13" s="29"/>
      <c r="G13" s="9">
        <f t="shared" si="0"/>
        <v>2.3366658607867761</v>
      </c>
      <c r="H13" s="9">
        <f t="shared" si="1"/>
        <v>2.3366658607867761</v>
      </c>
    </row>
    <row r="14" spans="1:12" x14ac:dyDescent="0.2">
      <c r="A14" s="31">
        <v>100</v>
      </c>
      <c r="B14" s="34">
        <v>296.66217</v>
      </c>
      <c r="C14" s="30">
        <v>27.048590000000001</v>
      </c>
      <c r="D14" s="30">
        <v>0.98111000000000004</v>
      </c>
      <c r="E14" s="29"/>
      <c r="F14" s="29"/>
      <c r="G14" s="9">
        <f t="shared" si="0"/>
        <v>2.5154642887779874</v>
      </c>
      <c r="H14" s="9">
        <f t="shared" si="1"/>
        <v>2.5154642887779874</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158</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1.5503171617403497</v>
      </c>
      <c r="H9" s="9">
        <f t="shared" ref="H9:H14" si="1">B9/(C9+$D$5)^D9</f>
        <v>1.5503171617403497</v>
      </c>
      <c r="J9" s="29"/>
      <c r="K9" s="29"/>
      <c r="L9" s="30"/>
    </row>
    <row r="10" spans="1:12" x14ac:dyDescent="0.2">
      <c r="A10" s="31">
        <v>5</v>
      </c>
      <c r="B10" s="34">
        <v>259.11354999999998</v>
      </c>
      <c r="C10" s="30">
        <v>32.664630000000002</v>
      </c>
      <c r="D10" s="30">
        <v>1.0171399999999999</v>
      </c>
      <c r="E10" s="29"/>
      <c r="F10" s="29"/>
      <c r="G10" s="9">
        <f t="shared" si="0"/>
        <v>1.7659696582443611</v>
      </c>
      <c r="H10" s="9">
        <f t="shared" si="1"/>
        <v>1.7659696582443611</v>
      </c>
      <c r="J10" s="29"/>
      <c r="K10" s="29"/>
      <c r="L10" s="30"/>
    </row>
    <row r="11" spans="1:12" x14ac:dyDescent="0.2">
      <c r="A11" s="31">
        <v>10</v>
      </c>
      <c r="B11" s="34">
        <v>267.80932999999999</v>
      </c>
      <c r="C11" s="30">
        <v>31.36009</v>
      </c>
      <c r="D11" s="30">
        <v>1.00878</v>
      </c>
      <c r="E11" s="29"/>
      <c r="F11" s="29"/>
      <c r="G11" s="35">
        <f t="shared" si="0"/>
        <v>1.9203617166676472</v>
      </c>
      <c r="H11" s="118">
        <f t="shared" si="1"/>
        <v>1.9203617166676472</v>
      </c>
      <c r="J11" s="29"/>
      <c r="K11" s="29"/>
      <c r="L11" s="30"/>
    </row>
    <row r="12" spans="1:12" x14ac:dyDescent="0.2">
      <c r="A12" s="31">
        <v>25</v>
      </c>
      <c r="B12" s="34">
        <v>280.16379000000001</v>
      </c>
      <c r="C12" s="30">
        <v>29.53274</v>
      </c>
      <c r="D12" s="30">
        <v>0.99697999999999998</v>
      </c>
      <c r="E12" s="29"/>
      <c r="F12" s="29"/>
      <c r="G12" s="9">
        <f t="shared" si="0"/>
        <v>2.1578290159101834</v>
      </c>
      <c r="H12" s="9">
        <f t="shared" si="1"/>
        <v>2.1578290159101834</v>
      </c>
      <c r="J12" s="29"/>
      <c r="K12" s="29"/>
      <c r="L12" s="30"/>
    </row>
    <row r="13" spans="1:12" x14ac:dyDescent="0.2">
      <c r="A13" s="31">
        <v>50</v>
      </c>
      <c r="B13" s="34">
        <v>288.48608999999999</v>
      </c>
      <c r="C13" s="30">
        <v>28.29513</v>
      </c>
      <c r="D13" s="30">
        <v>0.98900999999999994</v>
      </c>
      <c r="E13" s="29"/>
      <c r="F13" s="29"/>
      <c r="G13" s="9">
        <f t="shared" si="0"/>
        <v>2.3317290548292275</v>
      </c>
      <c r="H13" s="9">
        <f t="shared" si="1"/>
        <v>2.3317290548292275</v>
      </c>
    </row>
    <row r="14" spans="1:12" x14ac:dyDescent="0.2">
      <c r="A14" s="31">
        <v>100</v>
      </c>
      <c r="B14" s="34">
        <v>296.13357000000002</v>
      </c>
      <c r="C14" s="30">
        <v>27.129909999999999</v>
      </c>
      <c r="D14" s="30">
        <v>0.98162000000000005</v>
      </c>
      <c r="E14" s="29"/>
      <c r="F14" s="29"/>
      <c r="G14" s="9">
        <f t="shared" si="0"/>
        <v>2.5032179979378379</v>
      </c>
      <c r="H14" s="9">
        <f t="shared" si="1"/>
        <v>2.5032179979378379</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159</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1.4296114120053098</v>
      </c>
      <c r="H9" s="9">
        <f t="shared" ref="H9:H14" si="1">B9/(C9+$D$5)^D9</f>
        <v>1.4296114120053098</v>
      </c>
      <c r="J9" s="29"/>
      <c r="K9" s="29"/>
      <c r="L9" s="30"/>
    </row>
    <row r="10" spans="1:12" x14ac:dyDescent="0.2">
      <c r="A10" s="31">
        <v>5</v>
      </c>
      <c r="B10" s="34">
        <v>253.07857999999999</v>
      </c>
      <c r="C10" s="30">
        <v>33.587960000000002</v>
      </c>
      <c r="D10" s="30">
        <v>1.0229900000000001</v>
      </c>
      <c r="E10" s="29"/>
      <c r="F10" s="29"/>
      <c r="G10" s="9">
        <f t="shared" si="0"/>
        <v>1.6643987739268724</v>
      </c>
      <c r="H10" s="9">
        <f t="shared" si="1"/>
        <v>1.6643987739268724</v>
      </c>
      <c r="J10" s="29"/>
      <c r="K10" s="29"/>
      <c r="L10" s="30"/>
    </row>
    <row r="11" spans="1:12" x14ac:dyDescent="0.2">
      <c r="A11" s="31">
        <v>10</v>
      </c>
      <c r="B11" s="34">
        <v>263.15904</v>
      </c>
      <c r="C11" s="30">
        <v>32.0548</v>
      </c>
      <c r="D11" s="30">
        <v>1.0132399999999999</v>
      </c>
      <c r="E11" s="29"/>
      <c r="F11" s="29"/>
      <c r="G11" s="35">
        <f t="shared" si="0"/>
        <v>1.8365901094021118</v>
      </c>
      <c r="H11" s="118">
        <f t="shared" si="1"/>
        <v>1.8365901094021118</v>
      </c>
      <c r="J11" s="29"/>
      <c r="K11" s="29"/>
      <c r="L11" s="30"/>
    </row>
    <row r="12" spans="1:12" x14ac:dyDescent="0.2">
      <c r="A12" s="31">
        <v>25</v>
      </c>
      <c r="B12" s="34">
        <v>276.21251999999998</v>
      </c>
      <c r="C12" s="30">
        <v>30.116250000000001</v>
      </c>
      <c r="D12" s="30">
        <v>1.00075</v>
      </c>
      <c r="E12" s="29"/>
      <c r="F12" s="29"/>
      <c r="G12" s="9">
        <f t="shared" si="0"/>
        <v>2.0793917061668479</v>
      </c>
      <c r="H12" s="9">
        <f t="shared" si="1"/>
        <v>2.0793917061668479</v>
      </c>
      <c r="J12" s="29"/>
      <c r="K12" s="29"/>
      <c r="L12" s="30"/>
    </row>
    <row r="13" spans="1:12" x14ac:dyDescent="0.2">
      <c r="A13" s="31">
        <v>50</v>
      </c>
      <c r="B13" s="34">
        <v>285.40821999999997</v>
      </c>
      <c r="C13" s="30">
        <v>28.755269999999999</v>
      </c>
      <c r="D13" s="30">
        <v>0.99195999999999995</v>
      </c>
      <c r="E13" s="29"/>
      <c r="F13" s="29"/>
      <c r="G13" s="9">
        <f t="shared" si="0"/>
        <v>2.2660127590231838</v>
      </c>
      <c r="H13" s="9">
        <f t="shared" si="1"/>
        <v>2.2660127590231838</v>
      </c>
    </row>
    <row r="14" spans="1:12" x14ac:dyDescent="0.2">
      <c r="A14" s="31">
        <v>100</v>
      </c>
      <c r="B14" s="34">
        <v>293.62644</v>
      </c>
      <c r="C14" s="30">
        <v>27.51709</v>
      </c>
      <c r="D14" s="30">
        <v>0.98404999999999998</v>
      </c>
      <c r="E14" s="29"/>
      <c r="F14" s="29"/>
      <c r="G14" s="9">
        <f t="shared" si="0"/>
        <v>2.4456668639484134</v>
      </c>
      <c r="H14" s="9">
        <f t="shared" si="1"/>
        <v>2.4456668639484134</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160</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1.6103764038249631</v>
      </c>
      <c r="H9" s="9">
        <f t="shared" ref="H9:H14" si="1">B9/(C9+$D$5)^D9</f>
        <v>1.6103764038249631</v>
      </c>
      <c r="J9" s="29"/>
      <c r="K9" s="29"/>
      <c r="L9" s="30"/>
    </row>
    <row r="10" spans="1:12" x14ac:dyDescent="0.2">
      <c r="A10" s="31">
        <v>5</v>
      </c>
      <c r="B10" s="34">
        <v>261.38427999999999</v>
      </c>
      <c r="C10" s="30">
        <v>32.321309999999997</v>
      </c>
      <c r="D10" s="30">
        <v>1.01495</v>
      </c>
      <c r="E10" s="29"/>
      <c r="F10" s="29"/>
      <c r="G10" s="9">
        <f t="shared" si="0"/>
        <v>1.8053463872071618</v>
      </c>
      <c r="H10" s="9">
        <f t="shared" si="1"/>
        <v>1.8053463872071618</v>
      </c>
      <c r="J10" s="29"/>
      <c r="K10" s="29"/>
      <c r="L10" s="30"/>
    </row>
    <row r="11" spans="1:12" x14ac:dyDescent="0.2">
      <c r="A11" s="31">
        <v>10</v>
      </c>
      <c r="B11" s="34">
        <v>269.34521000000001</v>
      </c>
      <c r="C11" s="30">
        <v>31.131879999999999</v>
      </c>
      <c r="D11" s="30">
        <v>1.0073099999999999</v>
      </c>
      <c r="E11" s="29"/>
      <c r="F11" s="29"/>
      <c r="G11" s="35">
        <f t="shared" si="0"/>
        <v>1.9486751250347516</v>
      </c>
      <c r="H11" s="118">
        <f t="shared" si="1"/>
        <v>1.9486751250347516</v>
      </c>
      <c r="J11" s="29"/>
      <c r="K11" s="29"/>
      <c r="L11" s="30"/>
    </row>
    <row r="12" spans="1:12" x14ac:dyDescent="0.2">
      <c r="A12" s="31">
        <v>25</v>
      </c>
      <c r="B12" s="34">
        <v>288.87468000000001</v>
      </c>
      <c r="C12" s="30">
        <v>29.410900000000002</v>
      </c>
      <c r="D12" s="30">
        <v>0.99619000000000002</v>
      </c>
      <c r="E12" s="29"/>
      <c r="F12" s="29"/>
      <c r="G12" s="9">
        <f t="shared" si="0"/>
        <v>2.2355757069960251</v>
      </c>
      <c r="H12" s="9">
        <f t="shared" si="1"/>
        <v>2.2355757069960251</v>
      </c>
      <c r="J12" s="29"/>
      <c r="K12" s="29"/>
      <c r="L12" s="30"/>
    </row>
    <row r="13" spans="1:12" x14ac:dyDescent="0.2">
      <c r="A13" s="31">
        <v>50</v>
      </c>
      <c r="B13" s="34">
        <v>288.87468000000001</v>
      </c>
      <c r="C13" s="30">
        <v>28.236509999999999</v>
      </c>
      <c r="D13" s="30">
        <v>0.98863999999999996</v>
      </c>
      <c r="E13" s="29"/>
      <c r="F13" s="29"/>
      <c r="G13" s="9">
        <f t="shared" si="0"/>
        <v>2.3401212689205106</v>
      </c>
      <c r="H13" s="9">
        <f t="shared" si="1"/>
        <v>2.3401212689205106</v>
      </c>
    </row>
    <row r="14" spans="1:12" x14ac:dyDescent="0.2">
      <c r="A14" s="31">
        <v>100</v>
      </c>
      <c r="B14" s="34">
        <v>296.40785</v>
      </c>
      <c r="C14" s="30">
        <v>27.086500000000001</v>
      </c>
      <c r="D14" s="30">
        <v>0.98134999999999994</v>
      </c>
      <c r="E14" s="29"/>
      <c r="F14" s="29"/>
      <c r="G14" s="9">
        <f t="shared" si="0"/>
        <v>2.5096546436638567</v>
      </c>
      <c r="H14" s="9">
        <f t="shared" si="1"/>
        <v>2.5096546436638567</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161</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1.4272690770470138</v>
      </c>
      <c r="H9" s="9">
        <f t="shared" ref="H9:H14" si="1">B9/(C9+$D$5)^D9</f>
        <v>1.4272690770470138</v>
      </c>
      <c r="J9" s="29"/>
      <c r="K9" s="29"/>
      <c r="L9" s="30"/>
    </row>
    <row r="10" spans="1:12" x14ac:dyDescent="0.2">
      <c r="A10" s="31">
        <v>5</v>
      </c>
      <c r="B10" s="34">
        <v>253.76636999999999</v>
      </c>
      <c r="C10" s="30">
        <v>33.481679999999997</v>
      </c>
      <c r="D10" s="30">
        <v>1.0223199999999999</v>
      </c>
      <c r="E10" s="29"/>
      <c r="F10" s="29"/>
      <c r="G10" s="9">
        <f t="shared" si="0"/>
        <v>1.6757634388200207</v>
      </c>
      <c r="H10" s="9">
        <f t="shared" si="1"/>
        <v>1.6757634388200207</v>
      </c>
      <c r="J10" s="29"/>
      <c r="K10" s="29"/>
      <c r="L10" s="30"/>
    </row>
    <row r="11" spans="1:12" x14ac:dyDescent="0.2">
      <c r="A11" s="31">
        <v>10</v>
      </c>
      <c r="B11" s="34">
        <v>263.78131000000002</v>
      </c>
      <c r="C11" s="30">
        <v>31.96134</v>
      </c>
      <c r="D11" s="30">
        <v>1.0126500000000001</v>
      </c>
      <c r="E11" s="29"/>
      <c r="F11" s="29"/>
      <c r="G11" s="35">
        <f t="shared" si="0"/>
        <v>1.847564869709907</v>
      </c>
      <c r="H11" s="118">
        <f t="shared" si="1"/>
        <v>1.847564869709907</v>
      </c>
      <c r="J11" s="29"/>
      <c r="K11" s="29"/>
      <c r="L11" s="30"/>
    </row>
    <row r="12" spans="1:12" x14ac:dyDescent="0.2">
      <c r="A12" s="31">
        <v>25</v>
      </c>
      <c r="B12" s="34">
        <v>277.32452000000001</v>
      </c>
      <c r="C12" s="30">
        <v>29.952089999999998</v>
      </c>
      <c r="D12" s="30">
        <v>0.99968999999999997</v>
      </c>
      <c r="E12" s="29"/>
      <c r="F12" s="29"/>
      <c r="G12" s="9">
        <f t="shared" si="0"/>
        <v>2.1012082121281237</v>
      </c>
      <c r="H12" s="9">
        <f t="shared" si="1"/>
        <v>2.1012082121281237</v>
      </c>
      <c r="J12" s="29"/>
      <c r="K12" s="29"/>
      <c r="L12" s="30"/>
    </row>
    <row r="13" spans="1:12" x14ac:dyDescent="0.2">
      <c r="A13" s="31">
        <v>50</v>
      </c>
      <c r="B13" s="34">
        <v>286.37653999999998</v>
      </c>
      <c r="C13" s="30">
        <v>28.610849999999999</v>
      </c>
      <c r="D13" s="30">
        <v>0.99104000000000003</v>
      </c>
      <c r="E13" s="29"/>
      <c r="F13" s="29"/>
      <c r="G13" s="9">
        <f t="shared" si="0"/>
        <v>2.2864197637541208</v>
      </c>
      <c r="H13" s="9">
        <f t="shared" si="1"/>
        <v>2.2864197637541208</v>
      </c>
    </row>
    <row r="14" spans="1:12" x14ac:dyDescent="0.2">
      <c r="A14" s="31">
        <v>100</v>
      </c>
      <c r="B14" s="34">
        <v>294.97888999999998</v>
      </c>
      <c r="C14" s="30">
        <v>27.308869999999999</v>
      </c>
      <c r="D14" s="30">
        <v>0.98273999999999995</v>
      </c>
      <c r="E14" s="29"/>
      <c r="F14" s="29"/>
      <c r="G14" s="9">
        <f t="shared" si="0"/>
        <v>2.4765478083017225</v>
      </c>
      <c r="H14" s="9">
        <f t="shared" si="1"/>
        <v>2.4765478083017225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423</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162</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1.4500894125996853</v>
      </c>
      <c r="H9" s="9">
        <f t="shared" ref="H9:H14" si="1">B9/(C9+$D$5)^D9</f>
        <v>1.4500894125996853</v>
      </c>
      <c r="J9" s="29"/>
      <c r="K9" s="29"/>
      <c r="L9" s="30"/>
    </row>
    <row r="10" spans="1:12" x14ac:dyDescent="0.2">
      <c r="A10" s="31">
        <v>5</v>
      </c>
      <c r="B10" s="34">
        <v>254.57509999999999</v>
      </c>
      <c r="C10" s="30">
        <v>33.357579999999999</v>
      </c>
      <c r="D10" s="30">
        <v>1.0215399999999999</v>
      </c>
      <c r="E10" s="29"/>
      <c r="F10" s="29"/>
      <c r="G10" s="9">
        <f t="shared" si="0"/>
        <v>1.6891331411196102</v>
      </c>
      <c r="H10" s="9">
        <f t="shared" si="1"/>
        <v>1.6891331411196102</v>
      </c>
      <c r="J10" s="29"/>
      <c r="K10" s="29"/>
      <c r="L10" s="30"/>
    </row>
    <row r="11" spans="1:12" x14ac:dyDescent="0.2">
      <c r="A11" s="31">
        <v>10</v>
      </c>
      <c r="B11" s="34">
        <v>265.33812</v>
      </c>
      <c r="C11" s="30">
        <v>31.728549999999998</v>
      </c>
      <c r="D11" s="30">
        <v>1.01115</v>
      </c>
      <c r="E11" s="29"/>
      <c r="F11" s="29"/>
      <c r="G11" s="35">
        <f t="shared" si="0"/>
        <v>1.8754667450393254</v>
      </c>
      <c r="H11" s="118">
        <f t="shared" si="1"/>
        <v>1.8754667450393254</v>
      </c>
      <c r="J11" s="29"/>
      <c r="K11" s="29"/>
      <c r="L11" s="30"/>
    </row>
    <row r="12" spans="1:12" x14ac:dyDescent="0.2">
      <c r="A12" s="31">
        <v>25</v>
      </c>
      <c r="B12" s="34">
        <v>278.27661000000001</v>
      </c>
      <c r="C12" s="30">
        <v>29.811530000000001</v>
      </c>
      <c r="D12" s="30">
        <v>0.99878</v>
      </c>
      <c r="E12" s="29"/>
      <c r="F12" s="29"/>
      <c r="G12" s="9">
        <f t="shared" si="0"/>
        <v>2.1200655684092249</v>
      </c>
      <c r="H12" s="9">
        <f t="shared" si="1"/>
        <v>2.1200655684092249</v>
      </c>
      <c r="J12" s="29"/>
      <c r="K12" s="29"/>
      <c r="L12" s="30"/>
    </row>
    <row r="13" spans="1:12" x14ac:dyDescent="0.2">
      <c r="A13" s="31">
        <v>50</v>
      </c>
      <c r="B13" s="34">
        <v>287.58051</v>
      </c>
      <c r="C13" s="30">
        <v>28.431000000000001</v>
      </c>
      <c r="D13" s="30">
        <v>0.98987999999999998</v>
      </c>
      <c r="E13" s="29"/>
      <c r="F13" s="29"/>
      <c r="G13" s="9">
        <f t="shared" si="0"/>
        <v>2.3121964631194243</v>
      </c>
      <c r="H13" s="9">
        <f t="shared" si="1"/>
        <v>2.3121964631194243</v>
      </c>
    </row>
    <row r="14" spans="1:12" x14ac:dyDescent="0.2">
      <c r="A14" s="31">
        <v>100</v>
      </c>
      <c r="B14" s="34">
        <v>296.11192</v>
      </c>
      <c r="C14" s="30">
        <v>27.133880000000001</v>
      </c>
      <c r="D14" s="30">
        <v>0.98163999999999996</v>
      </c>
      <c r="E14" s="29"/>
      <c r="F14" s="29"/>
      <c r="G14" s="9">
        <f t="shared" si="0"/>
        <v>2.5027161803375195</v>
      </c>
      <c r="H14" s="9">
        <f t="shared" si="1"/>
        <v>2.5027161803375195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163</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1.6571005315155309</v>
      </c>
      <c r="H9" s="9">
        <f t="shared" ref="H9:H14" si="1">B9/(C9+$D$5)^D9</f>
        <v>1.6571005315155309</v>
      </c>
      <c r="J9" s="29"/>
      <c r="K9" s="29"/>
      <c r="L9" s="30"/>
    </row>
    <row r="10" spans="1:12" x14ac:dyDescent="0.2">
      <c r="A10" s="31">
        <v>5</v>
      </c>
      <c r="B10" s="34">
        <v>263.35487999999998</v>
      </c>
      <c r="C10" s="30">
        <v>32.025089999999999</v>
      </c>
      <c r="D10" s="30">
        <v>1.0130600000000001</v>
      </c>
      <c r="E10" s="29"/>
      <c r="F10" s="29"/>
      <c r="G10" s="9">
        <f t="shared" si="0"/>
        <v>1.8399910661743522</v>
      </c>
      <c r="H10" s="9">
        <f t="shared" si="1"/>
        <v>1.8399910661743522</v>
      </c>
      <c r="J10" s="29"/>
      <c r="K10" s="29"/>
      <c r="L10" s="30"/>
    </row>
    <row r="11" spans="1:12" x14ac:dyDescent="0.2">
      <c r="A11" s="31">
        <v>10</v>
      </c>
      <c r="B11" s="34">
        <v>271.20123999999998</v>
      </c>
      <c r="C11" s="30">
        <v>30.856809999999999</v>
      </c>
      <c r="D11" s="30">
        <v>1.0055400000000001</v>
      </c>
      <c r="E11" s="29"/>
      <c r="F11" s="29"/>
      <c r="G11" s="35">
        <f t="shared" si="0"/>
        <v>1.9832836060423333</v>
      </c>
      <c r="H11" s="118">
        <f t="shared" si="1"/>
        <v>1.9832836060423333</v>
      </c>
      <c r="J11" s="29"/>
      <c r="K11" s="29"/>
      <c r="L11" s="30"/>
    </row>
    <row r="12" spans="1:12" x14ac:dyDescent="0.2">
      <c r="A12" s="31">
        <v>25</v>
      </c>
      <c r="B12" s="34">
        <v>282.27166999999997</v>
      </c>
      <c r="C12" s="30">
        <v>29.22082</v>
      </c>
      <c r="D12" s="30">
        <v>0.99494000000000005</v>
      </c>
      <c r="E12" s="29"/>
      <c r="F12" s="29"/>
      <c r="G12" s="9">
        <f t="shared" si="0"/>
        <v>2.2010038516844093</v>
      </c>
      <c r="H12" s="9">
        <f t="shared" si="1"/>
        <v>2.2010038516844093</v>
      </c>
      <c r="J12" s="29"/>
      <c r="K12" s="29"/>
      <c r="L12" s="30"/>
    </row>
    <row r="13" spans="1:12" x14ac:dyDescent="0.2">
      <c r="A13" s="31">
        <v>50</v>
      </c>
      <c r="B13" s="34">
        <v>290.40814</v>
      </c>
      <c r="C13" s="30">
        <v>28.005379999999999</v>
      </c>
      <c r="D13" s="30">
        <v>0.98716000000000004</v>
      </c>
      <c r="E13" s="29"/>
      <c r="F13" s="29"/>
      <c r="G13" s="9">
        <f t="shared" si="0"/>
        <v>2.3737161526151436</v>
      </c>
      <c r="H13" s="9">
        <f t="shared" si="1"/>
        <v>2.3737161526151436</v>
      </c>
    </row>
    <row r="14" spans="1:12" x14ac:dyDescent="0.2">
      <c r="A14" s="31">
        <v>100</v>
      </c>
      <c r="B14" s="34">
        <v>297.47764999999998</v>
      </c>
      <c r="C14" s="30">
        <v>26.91919</v>
      </c>
      <c r="D14" s="30">
        <v>0.98031000000000001</v>
      </c>
      <c r="E14" s="29"/>
      <c r="F14" s="29"/>
      <c r="G14" s="9">
        <f t="shared" si="0"/>
        <v>2.5346961549439042</v>
      </c>
      <c r="H14" s="9">
        <f t="shared" si="1"/>
        <v>2.5346961549439042</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164</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1.4603314423771838</v>
      </c>
      <c r="H9" s="9">
        <f t="shared" ref="H9:H14" si="1">B9/(C9+$D$5)^D9</f>
        <v>1.4603314423771838</v>
      </c>
      <c r="J9" s="29"/>
      <c r="K9" s="29"/>
      <c r="L9" s="30"/>
    </row>
    <row r="10" spans="1:12" x14ac:dyDescent="0.2">
      <c r="A10" s="31">
        <v>5</v>
      </c>
      <c r="B10" s="34">
        <v>255.19143</v>
      </c>
      <c r="C10" s="30">
        <v>33.262779999999999</v>
      </c>
      <c r="D10" s="30">
        <v>1.02094</v>
      </c>
      <c r="E10" s="29"/>
      <c r="F10" s="29"/>
      <c r="G10" s="9">
        <f t="shared" si="0"/>
        <v>1.6994308328295349</v>
      </c>
      <c r="H10" s="9">
        <f t="shared" si="1"/>
        <v>1.6994308328295349</v>
      </c>
      <c r="J10" s="29"/>
      <c r="K10" s="29"/>
      <c r="L10" s="30"/>
    </row>
    <row r="11" spans="1:12" x14ac:dyDescent="0.2">
      <c r="A11" s="31">
        <v>10</v>
      </c>
      <c r="B11" s="34">
        <v>265.20096000000001</v>
      </c>
      <c r="C11" s="30">
        <v>31.748999999999999</v>
      </c>
      <c r="D11" s="30">
        <v>1.01128</v>
      </c>
      <c r="E11" s="29"/>
      <c r="F11" s="29"/>
      <c r="G11" s="35">
        <f t="shared" si="0"/>
        <v>1.8730150375696759</v>
      </c>
      <c r="H11" s="118">
        <f t="shared" si="1"/>
        <v>1.8730150375696759</v>
      </c>
      <c r="J11" s="29"/>
      <c r="K11" s="29"/>
      <c r="L11" s="30"/>
    </row>
    <row r="12" spans="1:12" x14ac:dyDescent="0.2">
      <c r="A12" s="31">
        <v>25</v>
      </c>
      <c r="B12" s="34">
        <v>278.49725000000001</v>
      </c>
      <c r="C12" s="30">
        <v>29.778949999999998</v>
      </c>
      <c r="D12" s="30">
        <v>0.99856999999999996</v>
      </c>
      <c r="E12" s="29"/>
      <c r="F12" s="29"/>
      <c r="G12" s="9">
        <f t="shared" si="0"/>
        <v>2.1244468336614766</v>
      </c>
      <c r="H12" s="9">
        <f t="shared" si="1"/>
        <v>2.1244468336614766</v>
      </c>
      <c r="J12" s="29"/>
      <c r="K12" s="29"/>
      <c r="L12" s="30"/>
    </row>
    <row r="13" spans="1:12" x14ac:dyDescent="0.2">
      <c r="A13" s="31">
        <v>50</v>
      </c>
      <c r="B13" s="34">
        <v>287.80007000000001</v>
      </c>
      <c r="C13" s="30">
        <v>28.398219999999998</v>
      </c>
      <c r="D13" s="30">
        <v>0.98967000000000005</v>
      </c>
      <c r="E13" s="29"/>
      <c r="F13" s="29"/>
      <c r="G13" s="9">
        <f t="shared" si="0"/>
        <v>2.3169059867169199</v>
      </c>
      <c r="H13" s="9">
        <f t="shared" si="1"/>
        <v>2.3169059867169199</v>
      </c>
    </row>
    <row r="14" spans="1:12" x14ac:dyDescent="0.2">
      <c r="A14" s="31">
        <v>100</v>
      </c>
      <c r="B14" s="34">
        <v>295.94022000000001</v>
      </c>
      <c r="C14" s="30">
        <v>27.160820000000001</v>
      </c>
      <c r="D14" s="30">
        <v>0.98180999999999996</v>
      </c>
      <c r="E14" s="29"/>
      <c r="F14" s="29"/>
      <c r="G14" s="9">
        <f t="shared" si="0"/>
        <v>2.4986872917306848</v>
      </c>
      <c r="H14" s="9">
        <f t="shared" si="1"/>
        <v>2.4986872917306848</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165</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1.5102107513236924</v>
      </c>
      <c r="H9" s="9">
        <f t="shared" ref="H9:H14" si="1">B9/(C9+$D$5)^D9</f>
        <v>1.5102107513236924</v>
      </c>
      <c r="J9" s="29"/>
      <c r="K9" s="29"/>
      <c r="L9" s="30"/>
    </row>
    <row r="10" spans="1:12" x14ac:dyDescent="0.2">
      <c r="A10" s="31">
        <v>5</v>
      </c>
      <c r="B10" s="34">
        <v>257.20585</v>
      </c>
      <c r="C10" s="30">
        <v>32.954790000000003</v>
      </c>
      <c r="D10" s="30">
        <v>1.01898</v>
      </c>
      <c r="E10" s="29"/>
      <c r="F10" s="29"/>
      <c r="G10" s="9">
        <f t="shared" si="0"/>
        <v>1.7334203286735061</v>
      </c>
      <c r="H10" s="9">
        <f t="shared" si="1"/>
        <v>1.7334203286735061</v>
      </c>
      <c r="J10" s="29"/>
      <c r="K10" s="29"/>
      <c r="L10" s="30"/>
    </row>
    <row r="11" spans="1:12" x14ac:dyDescent="0.2">
      <c r="A11" s="31">
        <v>10</v>
      </c>
      <c r="B11" s="34">
        <v>266.59332999999998</v>
      </c>
      <c r="C11" s="30">
        <v>31.54121</v>
      </c>
      <c r="D11" s="30">
        <v>1.0099499999999999</v>
      </c>
      <c r="E11" s="29"/>
      <c r="F11" s="29"/>
      <c r="G11" s="35">
        <f t="shared" si="0"/>
        <v>1.898126678148492</v>
      </c>
      <c r="H11" s="118">
        <f t="shared" si="1"/>
        <v>1.898126678148492</v>
      </c>
      <c r="J11" s="29"/>
      <c r="K11" s="29"/>
      <c r="L11" s="30"/>
    </row>
    <row r="12" spans="1:12" x14ac:dyDescent="0.2">
      <c r="A12" s="31">
        <v>25</v>
      </c>
      <c r="B12" s="34">
        <v>279.10068000000001</v>
      </c>
      <c r="C12" s="30">
        <v>29.689830000000001</v>
      </c>
      <c r="D12" s="30">
        <v>0.99799000000000004</v>
      </c>
      <c r="E12" s="29"/>
      <c r="F12" s="29"/>
      <c r="G12" s="9">
        <f t="shared" si="0"/>
        <v>2.136527583707208</v>
      </c>
      <c r="H12" s="9">
        <f t="shared" si="1"/>
        <v>2.136527583707208</v>
      </c>
      <c r="J12" s="29"/>
      <c r="K12" s="29"/>
      <c r="L12" s="30"/>
    </row>
    <row r="13" spans="1:12" x14ac:dyDescent="0.2">
      <c r="A13" s="31">
        <v>50</v>
      </c>
      <c r="B13" s="34">
        <v>287.98860000000002</v>
      </c>
      <c r="C13" s="30">
        <v>28.369949999999999</v>
      </c>
      <c r="D13" s="30">
        <v>0.98948999999999998</v>
      </c>
      <c r="E13" s="29"/>
      <c r="F13" s="29"/>
      <c r="G13" s="9">
        <f t="shared" si="0"/>
        <v>2.3209549457074998</v>
      </c>
      <c r="H13" s="9">
        <f t="shared" si="1"/>
        <v>2.3209549457074998</v>
      </c>
    </row>
    <row r="14" spans="1:12" x14ac:dyDescent="0.2">
      <c r="A14" s="31">
        <v>100</v>
      </c>
      <c r="B14" s="34">
        <v>295.95202</v>
      </c>
      <c r="C14" s="30">
        <v>27.15897</v>
      </c>
      <c r="D14" s="30">
        <v>0.98180000000000001</v>
      </c>
      <c r="E14" s="29"/>
      <c r="F14" s="29"/>
      <c r="G14" s="9">
        <f t="shared" si="0"/>
        <v>2.4989435155325594</v>
      </c>
      <c r="H14" s="9">
        <f t="shared" si="1"/>
        <v>2.4989435155325594</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166</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1.4838730612528599</v>
      </c>
      <c r="H9" s="9">
        <f t="shared" ref="H9:H14" si="1">B9/(C9+$D$5)^D9</f>
        <v>1.4838730612528599</v>
      </c>
      <c r="J9" s="29"/>
      <c r="K9" s="29"/>
      <c r="L9" s="30"/>
    </row>
    <row r="10" spans="1:12" x14ac:dyDescent="0.2">
      <c r="A10" s="31">
        <v>5</v>
      </c>
      <c r="B10" s="34">
        <v>255.60579000000001</v>
      </c>
      <c r="C10" s="30">
        <v>33.199210000000001</v>
      </c>
      <c r="D10" s="30">
        <v>1.0205299999999999</v>
      </c>
      <c r="E10" s="29"/>
      <c r="F10" s="29"/>
      <c r="G10" s="9">
        <f t="shared" si="0"/>
        <v>1.7064366619882587</v>
      </c>
      <c r="H10" s="9">
        <f t="shared" si="1"/>
        <v>1.7064366619882587</v>
      </c>
      <c r="J10" s="29"/>
      <c r="K10" s="29"/>
      <c r="L10" s="30"/>
    </row>
    <row r="11" spans="1:12" x14ac:dyDescent="0.2">
      <c r="A11" s="31">
        <v>10</v>
      </c>
      <c r="B11" s="34">
        <v>265.91649999999998</v>
      </c>
      <c r="C11" s="30">
        <v>31.642119999999998</v>
      </c>
      <c r="D11" s="30">
        <v>1.0105999999999999</v>
      </c>
      <c r="E11" s="29"/>
      <c r="F11" s="29"/>
      <c r="G11" s="35">
        <f t="shared" si="0"/>
        <v>1.8858541750953377</v>
      </c>
      <c r="H11" s="118">
        <f t="shared" si="1"/>
        <v>1.8858541750953377</v>
      </c>
      <c r="J11" s="29"/>
      <c r="K11" s="29"/>
      <c r="L11" s="30"/>
    </row>
    <row r="12" spans="1:12" x14ac:dyDescent="0.2">
      <c r="A12" s="31">
        <v>25</v>
      </c>
      <c r="B12" s="34">
        <v>279.12966999999998</v>
      </c>
      <c r="C12" s="30">
        <v>29.68554</v>
      </c>
      <c r="D12" s="30">
        <v>0.99797000000000002</v>
      </c>
      <c r="E12" s="29"/>
      <c r="F12" s="29"/>
      <c r="G12" s="9">
        <f t="shared" si="0"/>
        <v>2.1370275083809496</v>
      </c>
      <c r="H12" s="9">
        <f t="shared" si="1"/>
        <v>2.1370275083809496</v>
      </c>
      <c r="J12" s="29"/>
      <c r="K12" s="29"/>
      <c r="L12" s="30"/>
    </row>
    <row r="13" spans="1:12" x14ac:dyDescent="0.2">
      <c r="A13" s="31">
        <v>50</v>
      </c>
      <c r="B13" s="34">
        <v>287.73534999999998</v>
      </c>
      <c r="C13" s="30">
        <v>28.407810000000001</v>
      </c>
      <c r="D13" s="30">
        <v>0.98973</v>
      </c>
      <c r="E13" s="29"/>
      <c r="F13" s="29"/>
      <c r="G13" s="9">
        <f t="shared" si="0"/>
        <v>2.315539640800893</v>
      </c>
      <c r="H13" s="9">
        <f t="shared" si="1"/>
        <v>2.315539640800893</v>
      </c>
    </row>
    <row r="14" spans="1:12" x14ac:dyDescent="0.2">
      <c r="A14" s="31">
        <v>100</v>
      </c>
      <c r="B14" s="34">
        <v>296.11192</v>
      </c>
      <c r="C14" s="30">
        <v>27.133880000000001</v>
      </c>
      <c r="D14" s="30">
        <v>0.98163999999999996</v>
      </c>
      <c r="E14" s="29"/>
      <c r="F14" s="29"/>
      <c r="G14" s="9">
        <f t="shared" si="0"/>
        <v>2.5027161803375195</v>
      </c>
      <c r="H14" s="9">
        <f t="shared" si="1"/>
        <v>2.5027161803375195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167</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1.5936028598050473</v>
      </c>
      <c r="H9" s="9">
        <f t="shared" ref="H9:H14" si="1">B9/(C9+$D$5)^D9</f>
        <v>1.5936028598050473</v>
      </c>
      <c r="J9" s="29"/>
      <c r="K9" s="29"/>
      <c r="L9" s="30"/>
    </row>
    <row r="10" spans="1:12" x14ac:dyDescent="0.2">
      <c r="A10" s="31">
        <v>5</v>
      </c>
      <c r="B10" s="34">
        <v>260.21913999999998</v>
      </c>
      <c r="C10" s="30">
        <v>32.497070000000001</v>
      </c>
      <c r="D10" s="30">
        <v>1.01607</v>
      </c>
      <c r="E10" s="29"/>
      <c r="F10" s="29"/>
      <c r="G10" s="9">
        <f t="shared" si="0"/>
        <v>1.7850891677745326</v>
      </c>
      <c r="H10" s="9">
        <f t="shared" si="1"/>
        <v>1.7850891677745326</v>
      </c>
      <c r="J10" s="29"/>
      <c r="K10" s="29"/>
      <c r="L10" s="30"/>
    </row>
    <row r="11" spans="1:12" x14ac:dyDescent="0.2">
      <c r="A11" s="31">
        <v>10</v>
      </c>
      <c r="B11" s="34">
        <v>268.83895999999999</v>
      </c>
      <c r="C11" s="30">
        <v>31.20702</v>
      </c>
      <c r="D11" s="30">
        <v>1.0078</v>
      </c>
      <c r="E11" s="29"/>
      <c r="F11" s="29"/>
      <c r="G11" s="35">
        <f t="shared" si="0"/>
        <v>1.9392535399759059</v>
      </c>
      <c r="H11" s="118">
        <f t="shared" si="1"/>
        <v>1.9392535399759059</v>
      </c>
      <c r="J11" s="29"/>
      <c r="K11" s="29"/>
      <c r="L11" s="30"/>
    </row>
    <row r="12" spans="1:12" x14ac:dyDescent="0.2">
      <c r="A12" s="31">
        <v>25</v>
      </c>
      <c r="B12" s="34">
        <v>280.74806000000001</v>
      </c>
      <c r="C12" s="30">
        <v>29.446339999999999</v>
      </c>
      <c r="D12" s="30">
        <v>0.99641999999999997</v>
      </c>
      <c r="E12" s="29"/>
      <c r="F12" s="29"/>
      <c r="G12" s="9">
        <f t="shared" si="0"/>
        <v>2.1696651995791791</v>
      </c>
      <c r="H12" s="9">
        <f t="shared" si="1"/>
        <v>2.1696651995791791</v>
      </c>
      <c r="J12" s="29"/>
      <c r="K12" s="29"/>
      <c r="L12" s="30"/>
    </row>
    <row r="13" spans="1:12" x14ac:dyDescent="0.2">
      <c r="A13" s="31">
        <v>50</v>
      </c>
      <c r="B13" s="34">
        <v>289.11743999999999</v>
      </c>
      <c r="C13" s="30">
        <v>28.200089999999999</v>
      </c>
      <c r="D13" s="30">
        <v>0.98839999999999995</v>
      </c>
      <c r="E13" s="29"/>
      <c r="F13" s="29"/>
      <c r="G13" s="9">
        <f t="shared" si="0"/>
        <v>2.3454746339010302</v>
      </c>
      <c r="H13" s="9">
        <f t="shared" si="1"/>
        <v>2.3454746339010302</v>
      </c>
    </row>
    <row r="14" spans="1:12" x14ac:dyDescent="0.2">
      <c r="A14" s="31">
        <v>100</v>
      </c>
      <c r="B14" s="34">
        <v>296.42743999999999</v>
      </c>
      <c r="C14" s="30">
        <v>27.08362</v>
      </c>
      <c r="D14" s="30">
        <v>0.98133000000000004</v>
      </c>
      <c r="E14" s="29"/>
      <c r="F14" s="29"/>
      <c r="G14" s="9">
        <f t="shared" si="0"/>
        <v>2.5101194491617949</v>
      </c>
      <c r="H14" s="9">
        <f t="shared" si="1"/>
        <v>2.5101194491617949</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168</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1.4852421808375649</v>
      </c>
      <c r="H9" s="9">
        <f t="shared" ref="H9:H14" si="1">B9/(C9+$D$5)^D9</f>
        <v>1.4852421808375649</v>
      </c>
      <c r="J9" s="29"/>
      <c r="K9" s="29"/>
      <c r="L9" s="30"/>
    </row>
    <row r="10" spans="1:12" x14ac:dyDescent="0.2">
      <c r="A10" s="31">
        <v>5</v>
      </c>
      <c r="B10" s="34">
        <v>255.90621999999999</v>
      </c>
      <c r="C10" s="30">
        <v>33.153260000000003</v>
      </c>
      <c r="D10" s="30">
        <v>1.02024</v>
      </c>
      <c r="E10" s="29"/>
      <c r="F10" s="29"/>
      <c r="G10" s="9">
        <f t="shared" si="0"/>
        <v>1.7114683986681873</v>
      </c>
      <c r="H10" s="9">
        <f t="shared" si="1"/>
        <v>1.7114683986681873</v>
      </c>
      <c r="J10" s="29"/>
      <c r="K10" s="29"/>
      <c r="L10" s="30"/>
    </row>
    <row r="11" spans="1:12" x14ac:dyDescent="0.2">
      <c r="A11" s="31">
        <v>10</v>
      </c>
      <c r="B11" s="34">
        <v>265.82508000000001</v>
      </c>
      <c r="C11" s="30">
        <v>31.65579</v>
      </c>
      <c r="D11" s="30">
        <v>1.01068</v>
      </c>
      <c r="E11" s="29"/>
      <c r="F11" s="29"/>
      <c r="G11" s="35">
        <f t="shared" si="0"/>
        <v>1.8842729848199942</v>
      </c>
      <c r="H11" s="118">
        <f t="shared" si="1"/>
        <v>1.8842729848199942</v>
      </c>
      <c r="J11" s="29"/>
      <c r="K11" s="29"/>
      <c r="L11" s="30"/>
    </row>
    <row r="12" spans="1:12" x14ac:dyDescent="0.2">
      <c r="A12" s="31">
        <v>25</v>
      </c>
      <c r="B12" s="34">
        <v>278.87729000000002</v>
      </c>
      <c r="C12" s="30">
        <v>29.722819999999999</v>
      </c>
      <c r="D12" s="30">
        <v>0.99821000000000004</v>
      </c>
      <c r="E12" s="29"/>
      <c r="F12" s="29"/>
      <c r="G12" s="9">
        <f t="shared" si="0"/>
        <v>2.1319935784024602</v>
      </c>
      <c r="H12" s="9">
        <f t="shared" si="1"/>
        <v>2.1319935784024602</v>
      </c>
      <c r="J12" s="29"/>
      <c r="K12" s="29"/>
      <c r="L12" s="30"/>
    </row>
    <row r="13" spans="1:12" x14ac:dyDescent="0.2">
      <c r="A13" s="31">
        <v>50</v>
      </c>
      <c r="B13" s="34">
        <v>287.70310000000001</v>
      </c>
      <c r="C13" s="30">
        <v>28.412700000000001</v>
      </c>
      <c r="D13" s="30">
        <v>0.98975999999999997</v>
      </c>
      <c r="E13" s="29"/>
      <c r="F13" s="29"/>
      <c r="G13" s="9">
        <f t="shared" si="0"/>
        <v>2.3148559421132573</v>
      </c>
      <c r="H13" s="9">
        <f t="shared" si="1"/>
        <v>2.3148559421132573</v>
      </c>
    </row>
    <row r="14" spans="1:12" x14ac:dyDescent="0.2">
      <c r="A14" s="31">
        <v>100</v>
      </c>
      <c r="B14" s="34">
        <v>295.99838</v>
      </c>
      <c r="C14" s="30">
        <v>27.151769999999999</v>
      </c>
      <c r="D14" s="30">
        <v>0.98175000000000001</v>
      </c>
      <c r="E14" s="29"/>
      <c r="F14" s="29"/>
      <c r="G14" s="9">
        <f t="shared" si="0"/>
        <v>2.5000793134959891</v>
      </c>
      <c r="H14" s="9">
        <f t="shared" si="1"/>
        <v>2.5000793134959891</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169</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1.7418571016047071</v>
      </c>
      <c r="H9" s="9">
        <f t="shared" ref="H9:H14" si="1">B9/(C9+$D$5)^D9</f>
        <v>1.7418571016047071</v>
      </c>
      <c r="J9" s="29"/>
      <c r="K9" s="29"/>
      <c r="L9" s="30"/>
    </row>
    <row r="10" spans="1:12" x14ac:dyDescent="0.2">
      <c r="A10" s="31">
        <v>5</v>
      </c>
      <c r="B10" s="34">
        <v>270.87616000000003</v>
      </c>
      <c r="C10" s="30">
        <v>30.90504</v>
      </c>
      <c r="D10" s="30">
        <v>1.0058499999999999</v>
      </c>
      <c r="E10" s="29"/>
      <c r="F10" s="29"/>
      <c r="G10" s="9">
        <f t="shared" si="0"/>
        <v>1.977184400884668</v>
      </c>
      <c r="H10" s="9">
        <f t="shared" si="1"/>
        <v>1.977184400884668</v>
      </c>
      <c r="J10" s="29"/>
      <c r="K10" s="29"/>
      <c r="L10" s="30"/>
    </row>
    <row r="11" spans="1:12" x14ac:dyDescent="0.2">
      <c r="A11" s="31">
        <v>10</v>
      </c>
      <c r="B11" s="34">
        <v>279.22149999999999</v>
      </c>
      <c r="C11" s="30">
        <v>29.671980000000001</v>
      </c>
      <c r="D11" s="30">
        <v>0.99787999999999999</v>
      </c>
      <c r="E11" s="29"/>
      <c r="F11" s="29"/>
      <c r="G11" s="35">
        <f t="shared" si="0"/>
        <v>2.1388894726091716</v>
      </c>
      <c r="H11" s="118">
        <f t="shared" si="1"/>
        <v>2.1388894726091716</v>
      </c>
      <c r="J11" s="29"/>
      <c r="K11" s="29"/>
      <c r="L11" s="30"/>
    </row>
    <row r="12" spans="1:12" x14ac:dyDescent="0.2">
      <c r="A12" s="31">
        <v>25</v>
      </c>
      <c r="B12" s="34">
        <v>289.92786999999998</v>
      </c>
      <c r="C12" s="30">
        <v>28.093499999999999</v>
      </c>
      <c r="D12" s="30">
        <v>0.98772000000000004</v>
      </c>
      <c r="E12" s="29"/>
      <c r="F12" s="29"/>
      <c r="G12" s="9">
        <f t="shared" si="0"/>
        <v>2.3617589556657794</v>
      </c>
      <c r="H12" s="9">
        <f t="shared" si="1"/>
        <v>2.3617589556657794</v>
      </c>
      <c r="J12" s="29"/>
      <c r="K12" s="29"/>
      <c r="L12" s="30"/>
    </row>
    <row r="13" spans="1:12" x14ac:dyDescent="0.2">
      <c r="A13" s="31">
        <v>50</v>
      </c>
      <c r="B13" s="34">
        <v>297.03444999999999</v>
      </c>
      <c r="C13" s="30">
        <v>26.990010000000002</v>
      </c>
      <c r="D13" s="30">
        <v>0.98073999999999995</v>
      </c>
      <c r="E13" s="29"/>
      <c r="F13" s="29"/>
      <c r="G13" s="9">
        <f t="shared" si="0"/>
        <v>2.5242776296139424</v>
      </c>
      <c r="H13" s="9">
        <f t="shared" si="1"/>
        <v>2.5242776296139424</v>
      </c>
    </row>
    <row r="14" spans="1:12" x14ac:dyDescent="0.2">
      <c r="A14" s="31">
        <v>100</v>
      </c>
      <c r="B14" s="34">
        <v>303.39913999999999</v>
      </c>
      <c r="C14" s="30">
        <v>25.972549999999998</v>
      </c>
      <c r="D14" s="30">
        <v>0.97448000000000001</v>
      </c>
      <c r="E14" s="29"/>
      <c r="F14" s="29"/>
      <c r="G14" s="9">
        <f t="shared" si="0"/>
        <v>2.6785950032222323</v>
      </c>
      <c r="H14" s="9">
        <f t="shared" si="1"/>
        <v>2.6785950032222323</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170</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1.4222395690329663</v>
      </c>
      <c r="H9" s="9">
        <f t="shared" ref="H9:H14" si="1">B9/(C9+$D$5)^D9</f>
        <v>1.4222395690329663</v>
      </c>
      <c r="J9" s="29"/>
      <c r="K9" s="29"/>
      <c r="L9" s="30"/>
    </row>
    <row r="10" spans="1:12" x14ac:dyDescent="0.2">
      <c r="A10" s="31">
        <v>5</v>
      </c>
      <c r="B10" s="34">
        <v>253.72864999999999</v>
      </c>
      <c r="C10" s="30">
        <v>33.487439999999999</v>
      </c>
      <c r="D10" s="30">
        <v>1.0223599999999999</v>
      </c>
      <c r="E10" s="29"/>
      <c r="F10" s="29"/>
      <c r="G10" s="9">
        <f t="shared" si="0"/>
        <v>1.67511259147119</v>
      </c>
      <c r="H10" s="9">
        <f t="shared" si="1"/>
        <v>1.67511259147119</v>
      </c>
      <c r="J10" s="29"/>
      <c r="K10" s="29"/>
      <c r="L10" s="30"/>
    </row>
    <row r="11" spans="1:12" x14ac:dyDescent="0.2">
      <c r="A11" s="31">
        <v>10</v>
      </c>
      <c r="B11" s="34">
        <v>263.58690999999999</v>
      </c>
      <c r="C11" s="30">
        <v>31.99044</v>
      </c>
      <c r="D11" s="30">
        <v>1.0128299999999999</v>
      </c>
      <c r="E11" s="29"/>
      <c r="F11" s="29"/>
      <c r="G11" s="35">
        <f t="shared" si="0"/>
        <v>1.8441708246880861</v>
      </c>
      <c r="H11" s="118">
        <f t="shared" si="1"/>
        <v>1.8441708246880861</v>
      </c>
      <c r="J11" s="29"/>
      <c r="K11" s="29"/>
      <c r="L11" s="30"/>
    </row>
    <row r="12" spans="1:12" x14ac:dyDescent="0.2">
      <c r="A12" s="31">
        <v>25</v>
      </c>
      <c r="B12" s="34">
        <v>277.53219999999999</v>
      </c>
      <c r="C12" s="30">
        <v>29.921430000000001</v>
      </c>
      <c r="D12" s="30">
        <v>0.99948999999999999</v>
      </c>
      <c r="E12" s="29"/>
      <c r="F12" s="29"/>
      <c r="G12" s="9">
        <f t="shared" si="0"/>
        <v>2.1053249067400528</v>
      </c>
      <c r="H12" s="9">
        <f t="shared" si="1"/>
        <v>2.1053249067400528</v>
      </c>
      <c r="J12" s="29"/>
      <c r="K12" s="29"/>
      <c r="L12" s="30"/>
    </row>
    <row r="13" spans="1:12" x14ac:dyDescent="0.2">
      <c r="A13" s="31">
        <v>50</v>
      </c>
      <c r="B13" s="34">
        <v>286.46476000000001</v>
      </c>
      <c r="C13" s="30">
        <v>28.597670000000001</v>
      </c>
      <c r="D13" s="30">
        <v>0.99095</v>
      </c>
      <c r="E13" s="29"/>
      <c r="F13" s="29"/>
      <c r="G13" s="9">
        <f t="shared" si="0"/>
        <v>2.2883560220249022</v>
      </c>
      <c r="H13" s="9">
        <f t="shared" si="1"/>
        <v>2.2883560220249022</v>
      </c>
    </row>
    <row r="14" spans="1:12" x14ac:dyDescent="0.2">
      <c r="A14" s="31">
        <v>100</v>
      </c>
      <c r="B14" s="34">
        <v>295.10935000000001</v>
      </c>
      <c r="C14" s="30">
        <v>27.28867</v>
      </c>
      <c r="D14" s="30">
        <v>0.98262000000000005</v>
      </c>
      <c r="E14" s="29"/>
      <c r="F14" s="29"/>
      <c r="G14" s="9">
        <f t="shared" si="0"/>
        <v>2.4794695984413075</v>
      </c>
      <c r="H14" s="9">
        <f t="shared" si="1"/>
        <v>2.4794695984413075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171</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1.4627000272572144</v>
      </c>
      <c r="H9" s="9">
        <f t="shared" ref="H9:H14" si="1">B9/(C9+$D$5)^D9</f>
        <v>1.4627000272572144</v>
      </c>
      <c r="J9" s="29"/>
      <c r="K9" s="29"/>
      <c r="L9" s="30"/>
    </row>
    <row r="10" spans="1:12" x14ac:dyDescent="0.2">
      <c r="A10" s="31">
        <v>5</v>
      </c>
      <c r="B10" s="34">
        <v>254.71848</v>
      </c>
      <c r="C10" s="30">
        <v>33.335520000000002</v>
      </c>
      <c r="D10" s="30">
        <v>1.0214000000000001</v>
      </c>
      <c r="E10" s="29"/>
      <c r="F10" s="29"/>
      <c r="G10" s="9">
        <f t="shared" si="0"/>
        <v>1.6915276546992299</v>
      </c>
      <c r="H10" s="9">
        <f t="shared" si="1"/>
        <v>1.6915276546992299</v>
      </c>
      <c r="J10" s="29"/>
      <c r="K10" s="29"/>
      <c r="L10" s="30"/>
    </row>
    <row r="11" spans="1:12" x14ac:dyDescent="0.2">
      <c r="A11" s="31">
        <v>10</v>
      </c>
      <c r="B11" s="34">
        <v>264.71357</v>
      </c>
      <c r="C11" s="30">
        <v>31.821919999999999</v>
      </c>
      <c r="D11" s="30">
        <v>1.0117499999999999</v>
      </c>
      <c r="E11" s="29"/>
      <c r="F11" s="29"/>
      <c r="G11" s="35">
        <f t="shared" si="0"/>
        <v>1.8642475762511472</v>
      </c>
      <c r="H11" s="118">
        <f t="shared" si="1"/>
        <v>1.8642475762511472</v>
      </c>
      <c r="J11" s="29"/>
      <c r="K11" s="29"/>
      <c r="L11" s="30"/>
    </row>
    <row r="12" spans="1:12" x14ac:dyDescent="0.2">
      <c r="A12" s="31">
        <v>25</v>
      </c>
      <c r="B12" s="34">
        <v>276.98802000000001</v>
      </c>
      <c r="C12" s="30">
        <v>30.00177</v>
      </c>
      <c r="D12" s="30">
        <v>1.0000100000000001</v>
      </c>
      <c r="E12" s="29"/>
      <c r="F12" s="29"/>
      <c r="G12" s="9">
        <f t="shared" si="0"/>
        <v>2.0945938876794634</v>
      </c>
      <c r="H12" s="9">
        <f t="shared" si="1"/>
        <v>2.0945938876794634</v>
      </c>
      <c r="J12" s="29"/>
      <c r="K12" s="29"/>
      <c r="L12" s="30"/>
    </row>
    <row r="13" spans="1:12" x14ac:dyDescent="0.2">
      <c r="A13" s="31">
        <v>50</v>
      </c>
      <c r="B13" s="34">
        <v>286.34575000000001</v>
      </c>
      <c r="C13" s="30">
        <v>28.615590000000001</v>
      </c>
      <c r="D13" s="30">
        <v>0.99107000000000001</v>
      </c>
      <c r="E13" s="29"/>
      <c r="F13" s="29"/>
      <c r="G13" s="9">
        <f t="shared" si="0"/>
        <v>2.2857576118334562</v>
      </c>
      <c r="H13" s="9">
        <f t="shared" si="1"/>
        <v>2.2857576118334562</v>
      </c>
    </row>
    <row r="14" spans="1:12" x14ac:dyDescent="0.2">
      <c r="A14" s="31">
        <v>100</v>
      </c>
      <c r="B14" s="34">
        <v>294.57238000000001</v>
      </c>
      <c r="C14" s="30">
        <v>27.372150000000001</v>
      </c>
      <c r="D14" s="30">
        <v>0.98314000000000001</v>
      </c>
      <c r="E14" s="29"/>
      <c r="F14" s="29"/>
      <c r="G14" s="9">
        <f t="shared" si="0"/>
        <v>2.467142968767432</v>
      </c>
      <c r="H14" s="9">
        <f t="shared" si="1"/>
        <v>2.467142968767432</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opLeftCell="A102" zoomScaleNormal="100" zoomScaleSheetLayoutView="100" workbookViewId="0">
      <selection activeCell="A115" sqref="A115:I115"/>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120</v>
      </c>
    </row>
    <row r="3" spans="1:10" x14ac:dyDescent="0.2">
      <c r="A3" s="110" t="s">
        <v>121</v>
      </c>
      <c r="B3" s="46"/>
      <c r="C3" s="46"/>
      <c r="D3" s="46"/>
      <c r="E3" s="46"/>
      <c r="F3" s="46"/>
      <c r="G3" s="46"/>
    </row>
    <row r="4" spans="1:10" ht="8.25" customHeight="1" x14ac:dyDescent="0.2"/>
    <row r="5" spans="1:10" ht="19.5" customHeight="1" x14ac:dyDescent="0.2">
      <c r="A5" s="183" t="s">
        <v>116</v>
      </c>
      <c r="B5" s="183"/>
      <c r="C5" s="183"/>
      <c r="D5" s="183"/>
      <c r="E5" s="183"/>
      <c r="F5" s="183"/>
      <c r="G5" s="183"/>
      <c r="H5" s="183"/>
      <c r="I5" s="183"/>
      <c r="J5" s="168"/>
    </row>
    <row r="6" spans="1:10" ht="20.25" customHeight="1" x14ac:dyDescent="0.2">
      <c r="A6" s="183"/>
      <c r="B6" s="183"/>
      <c r="C6" s="183"/>
      <c r="D6" s="183"/>
      <c r="E6" s="183"/>
      <c r="F6" s="183"/>
      <c r="G6" s="183"/>
      <c r="H6" s="183"/>
      <c r="I6" s="183"/>
      <c r="J6" s="169"/>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100</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2" t="s">
        <v>408</v>
      </c>
      <c r="B13" s="180" t="s">
        <v>413</v>
      </c>
      <c r="C13" s="180"/>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79" t="s">
        <v>6</v>
      </c>
      <c r="G15" s="179"/>
      <c r="H15" s="46"/>
      <c r="I15" s="46"/>
      <c r="J15" s="46"/>
    </row>
    <row r="16" spans="1:10" x14ac:dyDescent="0.2">
      <c r="A16" s="46"/>
      <c r="B16" s="46"/>
      <c r="C16" s="115">
        <v>50</v>
      </c>
      <c r="D16" s="50" t="s">
        <v>3</v>
      </c>
      <c r="E16" s="48">
        <f>IF(ISBLANK(F16),0,IF($B$13='Runoff Coeficients (C)'!$I$8,VLOOKUP(F16,'Runoff Coeficients (C)'!$C$8:$F$40,2,FALSE),IF($B$13='Runoff Coeficients (C)'!$I$9,VLOOKUP(F16,'Runoff Coeficients (C)'!$C$8:$F$40,3,FALSE),IF($B$13='Runoff Coeficients (C)'!$I$10,VLOOKUP(F16,'Runoff Coeficients (C)'!$C$8:$F$40,4,FALSE),"UPDATE"))))</f>
        <v>0.9</v>
      </c>
      <c r="F16" s="181" t="s">
        <v>378</v>
      </c>
      <c r="G16" s="181"/>
      <c r="H16" s="46"/>
      <c r="I16" s="46"/>
      <c r="J16" s="46"/>
    </row>
    <row r="17" spans="1:10" x14ac:dyDescent="0.2">
      <c r="A17" s="46"/>
      <c r="B17" s="46"/>
      <c r="C17" s="115">
        <v>0</v>
      </c>
      <c r="D17" s="50" t="s">
        <v>3</v>
      </c>
      <c r="E17" s="48">
        <f>IF(ISBLANK(F17),0,IF($B$13='Runoff Coeficients (C)'!$I$8,VLOOKUP(F17,'Runoff Coeficients (C)'!$C$8:$F$40,2,FALSE),IF($B$13='Runoff Coeficients (C)'!$I$9,VLOOKUP(F17,'Runoff Coeficients (C)'!$C$8:$F$40,3,FALSE),IF($B$13='Runoff Coeficients (C)'!$I$10,VLOOKUP(F17,'Runoff Coeficients (C)'!$C$8:$F$40,4,FALSE),"UPDATE"))))</f>
        <v>0.85</v>
      </c>
      <c r="F17" s="181" t="s">
        <v>382</v>
      </c>
      <c r="G17" s="181"/>
      <c r="H17" s="46"/>
      <c r="I17" s="46"/>
      <c r="J17" s="46"/>
    </row>
    <row r="18" spans="1:10" x14ac:dyDescent="0.2">
      <c r="A18" s="46"/>
      <c r="B18" s="46"/>
      <c r="C18" s="115">
        <v>0</v>
      </c>
      <c r="D18" s="50" t="s">
        <v>3</v>
      </c>
      <c r="E18" s="48">
        <f>IF(ISBLANK(F18),0,IF($B$13='Runoff Coeficients (C)'!$I$8,VLOOKUP(F18,'Runoff Coeficients (C)'!$C$8:$F$40,2,FALSE),IF($B$13='Runoff Coeficients (C)'!$I$9,VLOOKUP(F18,'Runoff Coeficients (C)'!$C$8:$F$40,3,FALSE),IF($B$13='Runoff Coeficients (C)'!$I$10,VLOOKUP(F18,'Runoff Coeficients (C)'!$C$8:$F$40,4,FALSE),"UPDATE"))))</f>
        <v>0.6</v>
      </c>
      <c r="F18" s="181" t="s">
        <v>386</v>
      </c>
      <c r="G18" s="181"/>
      <c r="H18" s="46"/>
      <c r="I18" s="46"/>
      <c r="J18" s="46"/>
    </row>
    <row r="19" spans="1:10" x14ac:dyDescent="0.2">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81" t="s">
        <v>387</v>
      </c>
      <c r="G19" s="181"/>
      <c r="H19" s="46"/>
      <c r="I19" s="46"/>
      <c r="J19" s="46"/>
    </row>
    <row r="20" spans="1:10" x14ac:dyDescent="0.2">
      <c r="A20" s="46"/>
      <c r="B20" s="46"/>
      <c r="C20" s="115">
        <v>0</v>
      </c>
      <c r="D20" s="50" t="s">
        <v>3</v>
      </c>
      <c r="E20" s="48">
        <f>IF(ISBLANK(F20),0,IF($B$13='Runoff Coeficients (C)'!$I$8,VLOOKUP(F20,'Runoff Coeficients (C)'!$C$8:$F$40,2,FALSE),IF($B$13='Runoff Coeficients (C)'!$I$9,VLOOKUP(F20,'Runoff Coeficients (C)'!$C$8:$F$40,3,FALSE),IF($B$13='Runoff Coeficients (C)'!$I$10,VLOOKUP(F20,'Runoff Coeficients (C)'!$C$8:$F$40,4,FALSE),"UPDATE"))))</f>
        <v>0.3</v>
      </c>
      <c r="F20" s="181" t="s">
        <v>402</v>
      </c>
      <c r="G20" s="181"/>
      <c r="H20" s="46"/>
      <c r="I20" s="46"/>
      <c r="J20" s="46"/>
    </row>
    <row r="21" spans="1:10" x14ac:dyDescent="0.2">
      <c r="A21" s="46"/>
      <c r="B21" s="46"/>
      <c r="C21" s="115">
        <v>50</v>
      </c>
      <c r="D21" s="50" t="s">
        <v>3</v>
      </c>
      <c r="E21" s="48">
        <f>IF(ISBLANK(F21),0,IF($B$13='Runoff Coeficients (C)'!$I$8,VLOOKUP(F21,'Runoff Coeficients (C)'!$C$8:$F$40,2,FALSE),IF($B$13='Runoff Coeficients (C)'!$I$9,VLOOKUP(F21,'Runoff Coeficients (C)'!$C$8:$F$40,3,FALSE),IF($B$13='Runoff Coeficients (C)'!$I$10,VLOOKUP(F21,'Runoff Coeficients (C)'!$C$8:$F$40,4,FALSE),"UPDATE"))))</f>
        <v>0.2</v>
      </c>
      <c r="F21" s="181" t="s">
        <v>403</v>
      </c>
      <c r="G21" s="181"/>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0.55000000000000004</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1" t="s">
        <v>161</v>
      </c>
      <c r="B26" s="46"/>
      <c r="C26" s="46"/>
      <c r="D26" s="46"/>
      <c r="E26" s="46"/>
      <c r="F26" s="46"/>
      <c r="G26" s="46"/>
      <c r="H26" s="46"/>
      <c r="I26" s="46"/>
      <c r="J26" s="46"/>
    </row>
    <row r="27" spans="1:10" x14ac:dyDescent="0.2">
      <c r="A27" s="46"/>
      <c r="B27" s="46"/>
      <c r="C27" s="46" t="s">
        <v>8</v>
      </c>
      <c r="D27" s="46"/>
      <c r="E27" s="46"/>
      <c r="F27" s="53">
        <f>'tc-pre'!D48</f>
        <v>1.7038542878289411</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1.4272690770470138</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1.847564869709907</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2.1012082121281237</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2.2864197637541208</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2.4765478083017225</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0.55000000000000004</v>
      </c>
      <c r="E43" s="48">
        <f>G33</f>
        <v>1.4272690770470138</v>
      </c>
      <c r="F43" s="48">
        <f>$E$10</f>
        <v>100</v>
      </c>
      <c r="G43" s="50" t="s">
        <v>22</v>
      </c>
      <c r="H43" s="48">
        <f>C43*D43*E43*F43</f>
        <v>78.499799237585762</v>
      </c>
      <c r="I43" s="46" t="s">
        <v>33</v>
      </c>
    </row>
    <row r="44" spans="1:10" x14ac:dyDescent="0.2">
      <c r="A44" s="46"/>
      <c r="B44" s="50">
        <v>10</v>
      </c>
      <c r="C44" s="50">
        <v>1</v>
      </c>
      <c r="D44" s="48">
        <f>$H$23</f>
        <v>0.55000000000000004</v>
      </c>
      <c r="E44" s="48">
        <f>G34</f>
        <v>1.847564869709907</v>
      </c>
      <c r="F44" s="48">
        <f>$E$10</f>
        <v>100</v>
      </c>
      <c r="G44" s="50" t="s">
        <v>22</v>
      </c>
      <c r="H44" s="48">
        <f>C44*D44*E44*F44</f>
        <v>101.61606783404488</v>
      </c>
      <c r="I44" s="46" t="s">
        <v>33</v>
      </c>
    </row>
    <row r="45" spans="1:10" x14ac:dyDescent="0.2">
      <c r="A45" s="46"/>
      <c r="B45" s="50">
        <v>25</v>
      </c>
      <c r="C45" s="50">
        <v>1.1000000000000001</v>
      </c>
      <c r="D45" s="48">
        <f>$H$23</f>
        <v>0.55000000000000004</v>
      </c>
      <c r="E45" s="48">
        <f>G35</f>
        <v>2.1012082121281237</v>
      </c>
      <c r="F45" s="48">
        <f>$E$10</f>
        <v>100</v>
      </c>
      <c r="G45" s="50" t="s">
        <v>22</v>
      </c>
      <c r="H45" s="48">
        <f>C45*D45*E45*F45</f>
        <v>127.12309683375152</v>
      </c>
      <c r="I45" s="46" t="s">
        <v>33</v>
      </c>
    </row>
    <row r="46" spans="1:10" x14ac:dyDescent="0.2">
      <c r="A46" s="46"/>
      <c r="B46" s="50">
        <v>50</v>
      </c>
      <c r="C46" s="50">
        <v>1.2</v>
      </c>
      <c r="D46" s="48">
        <f>$H$23</f>
        <v>0.55000000000000004</v>
      </c>
      <c r="E46" s="48">
        <f>G36</f>
        <v>2.2864197637541208</v>
      </c>
      <c r="F46" s="48">
        <f>$E$10</f>
        <v>100</v>
      </c>
      <c r="G46" s="50" t="s">
        <v>22</v>
      </c>
      <c r="H46" s="48">
        <f>C46*D46*E46*F46</f>
        <v>150.90370440777198</v>
      </c>
      <c r="I46" s="46" t="s">
        <v>33</v>
      </c>
    </row>
    <row r="47" spans="1:10" x14ac:dyDescent="0.2">
      <c r="A47" s="46"/>
      <c r="B47" s="50">
        <v>100</v>
      </c>
      <c r="C47" s="50">
        <v>1.25</v>
      </c>
      <c r="D47" s="48">
        <f>$H$23</f>
        <v>0.55000000000000004</v>
      </c>
      <c r="E47" s="48">
        <f>G37</f>
        <v>2.4765478083017225</v>
      </c>
      <c r="F47" s="48">
        <f>$E$10</f>
        <v>100</v>
      </c>
      <c r="G47" s="50" t="s">
        <v>22</v>
      </c>
      <c r="H47" s="48">
        <f>C47*D47*E47*F47</f>
        <v>170.2626618207434</v>
      </c>
      <c r="I47" s="46" t="s">
        <v>33</v>
      </c>
    </row>
    <row r="48" spans="1:10" x14ac:dyDescent="0.2">
      <c r="A48" s="46"/>
      <c r="B48" s="46"/>
      <c r="C48" s="50"/>
      <c r="D48" s="50"/>
      <c r="E48" s="48"/>
      <c r="F48" s="48"/>
      <c r="G48" s="50"/>
      <c r="H48" s="50"/>
      <c r="I48" s="59"/>
      <c r="J48" s="46"/>
    </row>
    <row r="50" spans="1:10" s="44" customFormat="1" x14ac:dyDescent="0.2">
      <c r="A50" s="44" t="str">
        <f>A2</f>
        <v>Outfall #X [Lt./Rt.] Sta.XXX+XX (Road Name)</v>
      </c>
    </row>
    <row r="51" spans="1:10" x14ac:dyDescent="0.2">
      <c r="A51" s="45" t="str">
        <f>A3</f>
        <v>[description of outfall]</v>
      </c>
      <c r="B51" s="46"/>
      <c r="C51" s="46"/>
      <c r="D51" s="46"/>
      <c r="E51" s="46"/>
      <c r="F51" s="46"/>
      <c r="G51" s="46"/>
      <c r="H51" s="46"/>
      <c r="I51" s="46"/>
      <c r="J51" s="46"/>
    </row>
    <row r="53" spans="1:10" x14ac:dyDescent="0.2">
      <c r="A53" s="42" t="s">
        <v>23</v>
      </c>
    </row>
    <row r="54" spans="1:10" ht="27.75" customHeight="1" x14ac:dyDescent="0.2">
      <c r="A54" s="183" t="s">
        <v>119</v>
      </c>
      <c r="B54" s="183"/>
      <c r="C54" s="183"/>
      <c r="D54" s="183"/>
      <c r="E54" s="183"/>
      <c r="F54" s="183"/>
      <c r="G54" s="183"/>
      <c r="H54" s="183"/>
      <c r="I54" s="183"/>
      <c r="J54" s="168"/>
    </row>
    <row r="56" spans="1:10" x14ac:dyDescent="0.2">
      <c r="A56" s="44" t="s">
        <v>24</v>
      </c>
    </row>
    <row r="58" spans="1:10" ht="55.5" customHeight="1" x14ac:dyDescent="0.2">
      <c r="A58" s="183" t="s">
        <v>115</v>
      </c>
      <c r="B58" s="183"/>
      <c r="C58" s="183"/>
      <c r="D58" s="183"/>
      <c r="E58" s="183"/>
      <c r="F58" s="183"/>
      <c r="G58" s="183"/>
      <c r="H58" s="183"/>
      <c r="I58" s="183"/>
      <c r="J58" s="168"/>
    </row>
    <row r="60" spans="1:10" x14ac:dyDescent="0.2">
      <c r="C60" s="43" t="s">
        <v>25</v>
      </c>
      <c r="G60" s="116">
        <v>100</v>
      </c>
      <c r="H60" s="43" t="s">
        <v>26</v>
      </c>
    </row>
    <row r="62" spans="1:10" x14ac:dyDescent="0.2">
      <c r="C62" s="43" t="s">
        <v>34</v>
      </c>
      <c r="G62" s="123">
        <f>C68-C16</f>
        <v>0</v>
      </c>
      <c r="H62" s="43" t="s">
        <v>26</v>
      </c>
    </row>
    <row r="63" spans="1:10" x14ac:dyDescent="0.2">
      <c r="G63" s="60"/>
    </row>
    <row r="64" spans="1:10" x14ac:dyDescent="0.2">
      <c r="A64" s="61" t="s">
        <v>4</v>
      </c>
      <c r="B64" s="61"/>
      <c r="C64" s="61"/>
      <c r="D64" s="61"/>
    </row>
    <row r="65" spans="1:8" x14ac:dyDescent="0.2">
      <c r="A65" s="162" t="s">
        <v>408</v>
      </c>
      <c r="B65" s="180" t="s">
        <v>413</v>
      </c>
      <c r="C65" s="180"/>
    </row>
    <row r="67" spans="1:8" x14ac:dyDescent="0.2">
      <c r="C67" s="62" t="s">
        <v>2</v>
      </c>
      <c r="D67" s="62"/>
      <c r="E67" s="62" t="s">
        <v>5</v>
      </c>
      <c r="F67" s="178" t="s">
        <v>6</v>
      </c>
      <c r="G67" s="178"/>
    </row>
    <row r="68" spans="1:8" x14ac:dyDescent="0.2">
      <c r="C68" s="115">
        <v>50</v>
      </c>
      <c r="D68" s="50" t="s">
        <v>3</v>
      </c>
      <c r="E68" s="48">
        <f>IF(ISBLANK(F68),0,IF($B$65='Runoff Coeficients (C)'!$I$8,VLOOKUP(F68,'Runoff Coeficients (C)'!$C$8:$F$40,2,FALSE),IF($B$65='Runoff Coeficients (C)'!$I$9,VLOOKUP(F68,'Runoff Coeficients (C)'!$C$8:$F$40,3,FALSE),IF($B$65='Runoff Coeficients (C)'!$I$10,VLOOKUP(F68,'Runoff Coeficients (C)'!$C$8:$F$40,4,FALSE),"UPDATE"))))</f>
        <v>0.9</v>
      </c>
      <c r="F68" s="181" t="s">
        <v>378</v>
      </c>
      <c r="G68" s="181"/>
    </row>
    <row r="69" spans="1:8" ht="12.75" customHeight="1" x14ac:dyDescent="0.2">
      <c r="C69" s="115">
        <v>0</v>
      </c>
      <c r="D69" s="50" t="s">
        <v>3</v>
      </c>
      <c r="E69" s="48">
        <f>IF(ISBLANK(F69),0,IF($B$65='Runoff Coeficients (C)'!$I$8,VLOOKUP(F69,'Runoff Coeficients (C)'!$C$8:$F$40,2,FALSE),IF($B$65='Runoff Coeficients (C)'!$I$9,VLOOKUP(F69,'Runoff Coeficients (C)'!$C$8:$F$40,3,FALSE),IF($B$65='Runoff Coeficients (C)'!$I$10,VLOOKUP(F69,'Runoff Coeficients (C)'!$C$8:$F$40,4,FALSE),"UPDATE"))))</f>
        <v>0.85</v>
      </c>
      <c r="F69" s="181" t="s">
        <v>382</v>
      </c>
      <c r="G69" s="181"/>
    </row>
    <row r="70" spans="1:8" ht="12.75" customHeight="1" x14ac:dyDescent="0.2">
      <c r="C70" s="115">
        <v>0</v>
      </c>
      <c r="D70" s="50" t="s">
        <v>3</v>
      </c>
      <c r="E70" s="48">
        <f>IF(ISBLANK(F70),0,IF($B$65='Runoff Coeficients (C)'!$I$8,VLOOKUP(F70,'Runoff Coeficients (C)'!$C$8:$F$40,2,FALSE),IF($B$65='Runoff Coeficients (C)'!$I$9,VLOOKUP(F70,'Runoff Coeficients (C)'!$C$8:$F$40,3,FALSE),IF($B$65='Runoff Coeficients (C)'!$I$10,VLOOKUP(F70,'Runoff Coeficients (C)'!$C$8:$F$40,4,FALSE),"UPDATE"))))</f>
        <v>0.6</v>
      </c>
      <c r="F70" s="181" t="s">
        <v>386</v>
      </c>
      <c r="G70" s="181"/>
    </row>
    <row r="71" spans="1:8" ht="12.75" customHeight="1" x14ac:dyDescent="0.2">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81" t="s">
        <v>387</v>
      </c>
      <c r="G71" s="181"/>
    </row>
    <row r="72" spans="1:8" x14ac:dyDescent="0.2">
      <c r="C72" s="115">
        <v>0</v>
      </c>
      <c r="D72" s="50" t="s">
        <v>3</v>
      </c>
      <c r="E72" s="48">
        <f>IF(ISBLANK(F72),0,IF($B$65='Runoff Coeficients (C)'!$I$8,VLOOKUP(F72,'Runoff Coeficients (C)'!$C$8:$F$40,2,FALSE),IF($B$65='Runoff Coeficients (C)'!$I$9,VLOOKUP(F72,'Runoff Coeficients (C)'!$C$8:$F$40,3,FALSE),IF($B$65='Runoff Coeficients (C)'!$I$10,VLOOKUP(F72,'Runoff Coeficients (C)'!$C$8:$F$40,4,FALSE),"UPDATE"))))</f>
        <v>0.3</v>
      </c>
      <c r="F72" s="181" t="s">
        <v>402</v>
      </c>
      <c r="G72" s="181"/>
    </row>
    <row r="73" spans="1:8" x14ac:dyDescent="0.2">
      <c r="C73" s="115">
        <v>50</v>
      </c>
      <c r="D73" s="50" t="s">
        <v>3</v>
      </c>
      <c r="E73" s="48">
        <f>IF(ISBLANK(F73),0,IF($B$65='Runoff Coeficients (C)'!$I$8,VLOOKUP(F73,'Runoff Coeficients (C)'!$C$8:$F$40,2,FALSE),IF($B$65='Runoff Coeficients (C)'!$I$9,VLOOKUP(F73,'Runoff Coeficients (C)'!$C$8:$F$40,3,FALSE),IF($B$65='Runoff Coeficients (C)'!$I$10,VLOOKUP(F73,'Runoff Coeficients (C)'!$C$8:$F$40,4,FALSE),"UPDATE"))))</f>
        <v>0.2</v>
      </c>
      <c r="F73" s="181" t="s">
        <v>403</v>
      </c>
      <c r="G73" s="181"/>
    </row>
    <row r="74" spans="1:8" x14ac:dyDescent="0.2">
      <c r="F74" s="50"/>
      <c r="G74" s="50"/>
    </row>
    <row r="75" spans="1:8" ht="12" customHeight="1" x14ac:dyDescent="0.2">
      <c r="F75" s="43" t="s">
        <v>7</v>
      </c>
      <c r="H75" s="52">
        <f>((C68*E68)+(C69*E69)+(C73*E73)+(C72*E72)+(C70*E70)+(C71*E71))/G60</f>
        <v>0.55000000000000004</v>
      </c>
    </row>
    <row r="77" spans="1:8" x14ac:dyDescent="0.2">
      <c r="A77" s="61" t="s">
        <v>10</v>
      </c>
      <c r="B77" s="61"/>
      <c r="C77" s="61"/>
      <c r="D77" s="61"/>
    </row>
    <row r="78" spans="1:8" x14ac:dyDescent="0.2">
      <c r="A78" s="62" t="str">
        <f>A26</f>
        <v>Greenville, SC</v>
      </c>
    </row>
    <row r="79" spans="1:8" x14ac:dyDescent="0.2">
      <c r="C79" s="43" t="s">
        <v>8</v>
      </c>
      <c r="F79" s="63">
        <f>IF('tc-pre'!E1="Yes",'tc-pre'!D48,IF('tc-pre'!E1="No",'tc-post'!D47,"Update"))</f>
        <v>1.7038542878289411</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1.4272690770470138</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1.847564869709907</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2.1012082121281237</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2.2864197637541208</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2.4765478083017225</v>
      </c>
    </row>
    <row r="91" spans="1:10" x14ac:dyDescent="0.2">
      <c r="G91" s="66"/>
    </row>
    <row r="93" spans="1:10" s="44" customFormat="1" x14ac:dyDescent="0.2">
      <c r="A93" s="44" t="str">
        <f>A2</f>
        <v>Outfall #X [Lt./Rt.] Sta.XXX+XX (Road Name)</v>
      </c>
    </row>
    <row r="94" spans="1:10" x14ac:dyDescent="0.2">
      <c r="A94" s="45" t="str">
        <f>A3</f>
        <v>[description of outfall]</v>
      </c>
      <c r="B94" s="46"/>
      <c r="C94" s="46"/>
      <c r="D94" s="46"/>
      <c r="E94" s="46"/>
      <c r="F94" s="46"/>
      <c r="G94" s="46"/>
      <c r="H94" s="46"/>
      <c r="I94" s="46"/>
      <c r="J94" s="46"/>
    </row>
    <row r="96" spans="1:10" x14ac:dyDescent="0.2">
      <c r="A96" s="42" t="s">
        <v>23</v>
      </c>
    </row>
    <row r="97" spans="1:10" s="64" customFormat="1" ht="18.75" customHeight="1" x14ac:dyDescent="0.2">
      <c r="A97" s="184"/>
      <c r="B97" s="184"/>
      <c r="C97" s="184"/>
      <c r="D97" s="184"/>
      <c r="E97" s="184"/>
      <c r="F97" s="184"/>
      <c r="G97" s="184"/>
      <c r="H97" s="184"/>
      <c r="I97" s="184"/>
      <c r="J97" s="184"/>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0.55000000000000004</v>
      </c>
      <c r="E103" s="69">
        <f>G86</f>
        <v>1.4272690770470138</v>
      </c>
      <c r="F103" s="68">
        <f>$G$60</f>
        <v>100</v>
      </c>
      <c r="G103" s="62" t="s">
        <v>22</v>
      </c>
      <c r="H103" s="68">
        <f>C103*D103*E103*F103</f>
        <v>78.499799237585762</v>
      </c>
      <c r="I103" s="43" t="s">
        <v>33</v>
      </c>
    </row>
    <row r="104" spans="1:10" ht="12.75" customHeight="1" x14ac:dyDescent="0.2">
      <c r="B104" s="62">
        <v>10</v>
      </c>
      <c r="C104" s="62">
        <v>1</v>
      </c>
      <c r="D104" s="68">
        <f>$H$75</f>
        <v>0.55000000000000004</v>
      </c>
      <c r="E104" s="69">
        <f>G87</f>
        <v>1.847564869709907</v>
      </c>
      <c r="F104" s="68">
        <f>$G$60</f>
        <v>100</v>
      </c>
      <c r="G104" s="62" t="s">
        <v>22</v>
      </c>
      <c r="H104" s="68">
        <f>C104*D104*E104*F104</f>
        <v>101.61606783404488</v>
      </c>
      <c r="I104" s="43" t="s">
        <v>33</v>
      </c>
    </row>
    <row r="105" spans="1:10" ht="12.75" customHeight="1" x14ac:dyDescent="0.2">
      <c r="B105" s="62">
        <v>25</v>
      </c>
      <c r="C105" s="62">
        <v>1.1000000000000001</v>
      </c>
      <c r="D105" s="68">
        <f>$H$75</f>
        <v>0.55000000000000004</v>
      </c>
      <c r="E105" s="69">
        <f>G88</f>
        <v>2.1012082121281237</v>
      </c>
      <c r="F105" s="68">
        <f>$G$60</f>
        <v>100</v>
      </c>
      <c r="G105" s="62" t="s">
        <v>22</v>
      </c>
      <c r="H105" s="68">
        <f>C105*D105*E105*F105</f>
        <v>127.12309683375152</v>
      </c>
      <c r="I105" s="43" t="s">
        <v>33</v>
      </c>
    </row>
    <row r="106" spans="1:10" ht="12.75" customHeight="1" x14ac:dyDescent="0.2">
      <c r="B106" s="62">
        <v>50</v>
      </c>
      <c r="C106" s="62">
        <v>1.2</v>
      </c>
      <c r="D106" s="68">
        <f>$H$75</f>
        <v>0.55000000000000004</v>
      </c>
      <c r="E106" s="69">
        <f>G89</f>
        <v>2.2864197637541208</v>
      </c>
      <c r="F106" s="68">
        <f>$G$60</f>
        <v>100</v>
      </c>
      <c r="G106" s="62" t="s">
        <v>22</v>
      </c>
      <c r="H106" s="68">
        <f>C106*D106*E106*F106</f>
        <v>150.90370440777198</v>
      </c>
      <c r="I106" s="43" t="s">
        <v>33</v>
      </c>
    </row>
    <row r="107" spans="1:10" ht="12.75" customHeight="1" x14ac:dyDescent="0.2">
      <c r="B107" s="62">
        <v>100</v>
      </c>
      <c r="C107" s="62">
        <v>1.25</v>
      </c>
      <c r="D107" s="68">
        <f>$H$75</f>
        <v>0.55000000000000004</v>
      </c>
      <c r="E107" s="69">
        <f>G90</f>
        <v>2.4765478083017225</v>
      </c>
      <c r="F107" s="68">
        <f>$G$60</f>
        <v>100</v>
      </c>
      <c r="G107" s="62" t="s">
        <v>22</v>
      </c>
      <c r="H107" s="68">
        <f>C107*D107*E107*F107</f>
        <v>170.2626618207434</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78.499799237585762</v>
      </c>
      <c r="E112" s="48">
        <f>H103</f>
        <v>78.499799237585762</v>
      </c>
      <c r="F112" s="48">
        <f>E112-D112</f>
        <v>0</v>
      </c>
      <c r="G112" s="71">
        <f>F112/D112</f>
        <v>0</v>
      </c>
      <c r="H112" s="46"/>
      <c r="I112" s="46"/>
      <c r="J112" s="46"/>
    </row>
    <row r="113" spans="1:10" x14ac:dyDescent="0.2">
      <c r="A113" s="46"/>
      <c r="B113" s="46"/>
      <c r="C113" s="50">
        <v>10</v>
      </c>
      <c r="D113" s="48">
        <f>H44</f>
        <v>101.61606783404488</v>
      </c>
      <c r="E113" s="48">
        <f>H104</f>
        <v>101.61606783404488</v>
      </c>
      <c r="F113" s="48">
        <f>E113-D113</f>
        <v>0</v>
      </c>
      <c r="G113" s="71">
        <f>F113/D113</f>
        <v>0</v>
      </c>
      <c r="H113" s="46"/>
      <c r="I113" s="46"/>
      <c r="J113" s="46"/>
    </row>
    <row r="114" spans="1:10" x14ac:dyDescent="0.2">
      <c r="A114" s="46"/>
      <c r="B114" s="46"/>
      <c r="C114" s="46"/>
      <c r="D114" s="46"/>
      <c r="E114" s="46"/>
      <c r="F114" s="46"/>
      <c r="G114" s="46"/>
      <c r="H114" s="46"/>
      <c r="I114" s="46"/>
      <c r="J114" s="46"/>
    </row>
    <row r="115" spans="1:10" ht="57.75" customHeight="1" x14ac:dyDescent="0.2">
      <c r="A115" s="182" t="s">
        <v>118</v>
      </c>
      <c r="B115" s="183"/>
      <c r="C115" s="183"/>
      <c r="D115" s="183"/>
      <c r="E115" s="183"/>
      <c r="F115" s="183"/>
      <c r="G115" s="183"/>
      <c r="H115" s="183"/>
      <c r="I115" s="183"/>
      <c r="J115" s="168"/>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A5:I6"/>
    <mergeCell ref="F17:G17"/>
    <mergeCell ref="F20:G20"/>
    <mergeCell ref="F21:G21"/>
    <mergeCell ref="B13:C13"/>
    <mergeCell ref="F16:G16"/>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s>
  <phoneticPr fontId="0" type="noConversion"/>
  <dataValidations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&amp;LInterstate 85 /
Interstate 385&amp;CPre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179</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1.4266884159164266</v>
      </c>
      <c r="H9" s="9">
        <f t="shared" ref="H9:H14" si="1">B9/(C9+$D$5)^D9</f>
        <v>1.4266884159164266</v>
      </c>
      <c r="J9" s="29"/>
      <c r="K9" s="29"/>
      <c r="L9" s="30"/>
    </row>
    <row r="10" spans="1:12" x14ac:dyDescent="0.2">
      <c r="A10" s="31">
        <v>5</v>
      </c>
      <c r="B10" s="34">
        <v>253.32925</v>
      </c>
      <c r="C10" s="30">
        <v>33.549219999999998</v>
      </c>
      <c r="D10" s="30">
        <v>1.02275</v>
      </c>
      <c r="E10" s="29"/>
      <c r="F10" s="29"/>
      <c r="G10" s="9">
        <f t="shared" si="0"/>
        <v>1.6684990249519811</v>
      </c>
      <c r="H10" s="9">
        <f t="shared" si="1"/>
        <v>1.6684990249519811</v>
      </c>
      <c r="J10" s="29"/>
      <c r="K10" s="29"/>
      <c r="L10" s="30"/>
    </row>
    <row r="11" spans="1:12" x14ac:dyDescent="0.2">
      <c r="A11" s="31">
        <v>10</v>
      </c>
      <c r="B11" s="34">
        <v>262.87425000000002</v>
      </c>
      <c r="C11" s="30">
        <v>32.097470000000001</v>
      </c>
      <c r="D11" s="30">
        <v>1.01352</v>
      </c>
      <c r="E11" s="29"/>
      <c r="F11" s="29"/>
      <c r="G11" s="35">
        <f t="shared" si="0"/>
        <v>1.831497385993768</v>
      </c>
      <c r="H11" s="118">
        <f t="shared" si="1"/>
        <v>1.831497385993768</v>
      </c>
      <c r="J11" s="29"/>
      <c r="K11" s="29"/>
      <c r="L11" s="30"/>
    </row>
    <row r="12" spans="1:12" x14ac:dyDescent="0.2">
      <c r="A12" s="31">
        <v>25</v>
      </c>
      <c r="B12" s="34">
        <v>276.43448999999998</v>
      </c>
      <c r="C12" s="30">
        <v>30.083480000000002</v>
      </c>
      <c r="D12" s="30">
        <v>1.00054</v>
      </c>
      <c r="E12" s="29"/>
      <c r="F12" s="29"/>
      <c r="G12" s="9">
        <f t="shared" si="0"/>
        <v>2.0837151082056935</v>
      </c>
      <c r="H12" s="9">
        <f t="shared" si="1"/>
        <v>2.0837151082056935</v>
      </c>
      <c r="J12" s="29"/>
      <c r="K12" s="29"/>
      <c r="L12" s="30"/>
    </row>
    <row r="13" spans="1:12" x14ac:dyDescent="0.2">
      <c r="A13" s="31">
        <v>50</v>
      </c>
      <c r="B13" s="34">
        <v>285.47241000000002</v>
      </c>
      <c r="C13" s="30">
        <v>28.74568</v>
      </c>
      <c r="D13" s="30">
        <v>0.9919</v>
      </c>
      <c r="E13" s="29"/>
      <c r="F13" s="29"/>
      <c r="G13" s="9">
        <f t="shared" si="0"/>
        <v>2.2673501227298565</v>
      </c>
      <c r="H13" s="9">
        <f t="shared" si="1"/>
        <v>2.2673501227298565</v>
      </c>
    </row>
    <row r="14" spans="1:12" x14ac:dyDescent="0.2">
      <c r="A14" s="31">
        <v>100</v>
      </c>
      <c r="B14" s="34">
        <v>293.96606000000003</v>
      </c>
      <c r="C14" s="30">
        <v>27.46491</v>
      </c>
      <c r="D14" s="30">
        <v>0.98372999999999999</v>
      </c>
      <c r="E14" s="29"/>
      <c r="F14" s="29"/>
      <c r="G14" s="9">
        <f t="shared" si="0"/>
        <v>2.4532814445135092</v>
      </c>
      <c r="H14" s="9">
        <f t="shared" si="1"/>
        <v>2.4532814445135092</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172</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1.7195080166138754</v>
      </c>
      <c r="H9" s="9">
        <f t="shared" ref="H9:H14" si="1">B9/(C9+$D$5)^D9</f>
        <v>1.7195080166138754</v>
      </c>
      <c r="J9" s="29"/>
      <c r="K9" s="29"/>
      <c r="L9" s="30"/>
    </row>
    <row r="10" spans="1:12" x14ac:dyDescent="0.2">
      <c r="A10" s="31">
        <v>5</v>
      </c>
      <c r="B10" s="34">
        <v>269.50522000000001</v>
      </c>
      <c r="C10" s="30">
        <v>31.108280000000001</v>
      </c>
      <c r="D10" s="30">
        <v>1.0071600000000001</v>
      </c>
      <c r="E10" s="29"/>
      <c r="F10" s="29"/>
      <c r="G10" s="9">
        <f t="shared" si="0"/>
        <v>1.9516122330763075</v>
      </c>
      <c r="H10" s="9">
        <f t="shared" si="1"/>
        <v>1.9516122330763075</v>
      </c>
      <c r="J10" s="29"/>
      <c r="K10" s="29"/>
      <c r="L10" s="30"/>
    </row>
    <row r="11" spans="1:12" x14ac:dyDescent="0.2">
      <c r="A11" s="31">
        <v>10</v>
      </c>
      <c r="B11" s="34">
        <v>277.79628000000002</v>
      </c>
      <c r="C11" s="30">
        <v>28.882449999999999</v>
      </c>
      <c r="D11" s="30">
        <v>0.99924000000000002</v>
      </c>
      <c r="E11" s="29"/>
      <c r="F11" s="29"/>
      <c r="G11" s="35">
        <f t="shared" si="0"/>
        <v>2.1266094576172474</v>
      </c>
      <c r="H11" s="118">
        <f t="shared" si="1"/>
        <v>2.1266094576172474</v>
      </c>
      <c r="J11" s="29"/>
      <c r="K11" s="29"/>
      <c r="L11" s="30"/>
    </row>
    <row r="12" spans="1:12" x14ac:dyDescent="0.2">
      <c r="A12" s="31">
        <v>25</v>
      </c>
      <c r="B12" s="34">
        <v>288.37076999999999</v>
      </c>
      <c r="C12" s="30">
        <v>28.31259</v>
      </c>
      <c r="D12" s="30">
        <v>0.98912</v>
      </c>
      <c r="E12" s="29"/>
      <c r="F12" s="29"/>
      <c r="G12" s="9">
        <f t="shared" si="0"/>
        <v>2.3292401044733744</v>
      </c>
      <c r="H12" s="9">
        <f t="shared" si="1"/>
        <v>2.3292401044733744</v>
      </c>
      <c r="J12" s="29"/>
      <c r="K12" s="29"/>
      <c r="L12" s="30"/>
    </row>
    <row r="13" spans="1:12" x14ac:dyDescent="0.2">
      <c r="A13" s="31">
        <v>50</v>
      </c>
      <c r="B13" s="34">
        <v>295.59257000000002</v>
      </c>
      <c r="C13" s="30">
        <v>27.21407</v>
      </c>
      <c r="D13" s="30">
        <v>0.98214999999999997</v>
      </c>
      <c r="E13" s="29"/>
      <c r="F13" s="29"/>
      <c r="G13" s="9">
        <f t="shared" si="0"/>
        <v>2.4906223297027896</v>
      </c>
      <c r="H13" s="9">
        <f t="shared" si="1"/>
        <v>2.4906223297027896</v>
      </c>
    </row>
    <row r="14" spans="1:12" x14ac:dyDescent="0.2">
      <c r="A14" s="31">
        <v>100</v>
      </c>
      <c r="B14" s="34">
        <v>302.0052</v>
      </c>
      <c r="C14" s="30">
        <v>26.200060000000001</v>
      </c>
      <c r="D14" s="30">
        <v>0.97585999999999995</v>
      </c>
      <c r="E14" s="29"/>
      <c r="F14" s="29"/>
      <c r="G14" s="9">
        <f t="shared" si="0"/>
        <v>2.6439108084462815</v>
      </c>
      <c r="H14" s="9">
        <f t="shared" si="1"/>
        <v>2.6439108084462815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173</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1.5450857308548884</v>
      </c>
      <c r="H9" s="9">
        <f t="shared" ref="H9:H14" si="1">B9/(C9+$D$5)^D9</f>
        <v>1.5450857308548884</v>
      </c>
      <c r="J9" s="29"/>
      <c r="K9" s="29"/>
      <c r="L9" s="30"/>
    </row>
    <row r="10" spans="1:12" x14ac:dyDescent="0.2">
      <c r="A10" s="31">
        <v>5</v>
      </c>
      <c r="B10" s="34">
        <v>258.82004999999998</v>
      </c>
      <c r="C10" s="30">
        <v>32.709200000000003</v>
      </c>
      <c r="D10" s="30">
        <v>1.01742</v>
      </c>
      <c r="E10" s="29"/>
      <c r="F10" s="29"/>
      <c r="G10" s="9">
        <f t="shared" si="0"/>
        <v>1.7609566402285401</v>
      </c>
      <c r="H10" s="9">
        <f t="shared" si="1"/>
        <v>1.7609566402285401</v>
      </c>
      <c r="J10" s="29"/>
      <c r="K10" s="29"/>
      <c r="L10" s="30"/>
    </row>
    <row r="11" spans="1:12" x14ac:dyDescent="0.2">
      <c r="A11" s="31">
        <v>10</v>
      </c>
      <c r="B11" s="34">
        <v>268.10935999999998</v>
      </c>
      <c r="C11" s="30">
        <v>31.315519999999999</v>
      </c>
      <c r="D11" s="30">
        <v>1.0085</v>
      </c>
      <c r="E11" s="29"/>
      <c r="F11" s="29"/>
      <c r="G11" s="35">
        <f t="shared" si="0"/>
        <v>1.9257977714374954</v>
      </c>
      <c r="H11" s="118">
        <f t="shared" si="1"/>
        <v>1.9257977714374954</v>
      </c>
      <c r="J11" s="29"/>
      <c r="K11" s="29"/>
      <c r="L11" s="30"/>
    </row>
    <row r="12" spans="1:12" x14ac:dyDescent="0.2">
      <c r="A12" s="31">
        <v>25</v>
      </c>
      <c r="B12" s="34">
        <v>280.32646</v>
      </c>
      <c r="C12" s="30">
        <v>29.508700000000001</v>
      </c>
      <c r="D12" s="30">
        <v>0.99682000000000004</v>
      </c>
      <c r="E12" s="29"/>
      <c r="F12" s="29"/>
      <c r="G12" s="9">
        <f t="shared" si="0"/>
        <v>2.1611617687009002</v>
      </c>
      <c r="H12" s="9">
        <f t="shared" si="1"/>
        <v>2.1611617687009002</v>
      </c>
      <c r="J12" s="29"/>
      <c r="K12" s="29"/>
      <c r="L12" s="30"/>
    </row>
    <row r="13" spans="1:12" x14ac:dyDescent="0.2">
      <c r="A13" s="31">
        <v>50</v>
      </c>
      <c r="B13" s="34">
        <v>288.72570999999999</v>
      </c>
      <c r="C13" s="30">
        <v>28.259239999999998</v>
      </c>
      <c r="D13" s="30">
        <v>0.98877999999999999</v>
      </c>
      <c r="E13" s="29"/>
      <c r="F13" s="29"/>
      <c r="G13" s="9">
        <f t="shared" si="0"/>
        <v>2.3369174255081981</v>
      </c>
      <c r="H13" s="9">
        <f t="shared" si="1"/>
        <v>2.3369174255081981</v>
      </c>
    </row>
    <row r="14" spans="1:12" x14ac:dyDescent="0.2">
      <c r="A14" s="31">
        <v>100</v>
      </c>
      <c r="B14" s="34">
        <v>296.68747999999999</v>
      </c>
      <c r="C14" s="30">
        <v>27.044270000000001</v>
      </c>
      <c r="D14" s="30">
        <v>0.98107999999999995</v>
      </c>
      <c r="E14" s="29"/>
      <c r="F14" s="29"/>
      <c r="G14" s="9">
        <f t="shared" si="0"/>
        <v>2.516128347913313</v>
      </c>
      <c r="H14" s="9">
        <f t="shared" si="1"/>
        <v>2.516128347913313</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174</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1.4531985728776966</v>
      </c>
      <c r="H9" s="9">
        <f t="shared" ref="H9:H14" si="1">B9/(C9+$D$5)^D9</f>
        <v>1.4531985728776966</v>
      </c>
      <c r="J9" s="29"/>
      <c r="K9" s="29"/>
      <c r="L9" s="30"/>
    </row>
    <row r="10" spans="1:12" x14ac:dyDescent="0.2">
      <c r="A10" s="31">
        <v>5</v>
      </c>
      <c r="B10" s="34">
        <v>254.10798</v>
      </c>
      <c r="C10" s="30">
        <v>33.429119999999998</v>
      </c>
      <c r="D10" s="30">
        <v>1.02199</v>
      </c>
      <c r="E10" s="29"/>
      <c r="F10" s="29"/>
      <c r="G10" s="9">
        <f t="shared" si="0"/>
        <v>1.681406188077982</v>
      </c>
      <c r="H10" s="9">
        <f t="shared" si="1"/>
        <v>1.681406188077982</v>
      </c>
      <c r="J10" s="29"/>
      <c r="K10" s="29"/>
      <c r="L10" s="30"/>
    </row>
    <row r="11" spans="1:12" x14ac:dyDescent="0.2">
      <c r="A11" s="31">
        <v>10</v>
      </c>
      <c r="B11" s="34">
        <v>264.19040000000001</v>
      </c>
      <c r="C11" s="30">
        <v>31.900130000000001</v>
      </c>
      <c r="D11" s="30">
        <v>1.0122500000000001</v>
      </c>
      <c r="E11" s="29"/>
      <c r="F11" s="29"/>
      <c r="G11" s="35">
        <f t="shared" si="0"/>
        <v>1.8549165173428992</v>
      </c>
      <c r="H11" s="118">
        <f t="shared" si="1"/>
        <v>1.8549165173428992</v>
      </c>
      <c r="J11" s="29"/>
      <c r="K11" s="29"/>
      <c r="L11" s="30"/>
    </row>
    <row r="12" spans="1:12" x14ac:dyDescent="0.2">
      <c r="A12" s="31">
        <v>25</v>
      </c>
      <c r="B12" s="34">
        <v>277.46460000000002</v>
      </c>
      <c r="C12" s="30">
        <v>29.93141</v>
      </c>
      <c r="D12" s="30">
        <v>0.99956</v>
      </c>
      <c r="E12" s="29"/>
      <c r="F12" s="29"/>
      <c r="G12" s="9">
        <f t="shared" si="0"/>
        <v>2.1039338210834235</v>
      </c>
      <c r="H12" s="9">
        <f t="shared" si="1"/>
        <v>2.1039338210834235</v>
      </c>
      <c r="J12" s="29"/>
      <c r="K12" s="29"/>
      <c r="L12" s="30"/>
    </row>
    <row r="13" spans="1:12" x14ac:dyDescent="0.2">
      <c r="A13" s="31">
        <v>50</v>
      </c>
      <c r="B13" s="34">
        <v>286.11426999999998</v>
      </c>
      <c r="C13" s="30">
        <v>28.650040000000001</v>
      </c>
      <c r="D13" s="30">
        <v>0.99129</v>
      </c>
      <c r="E13" s="29"/>
      <c r="F13" s="29"/>
      <c r="G13" s="9">
        <f t="shared" si="0"/>
        <v>2.2808668418499338</v>
      </c>
      <c r="H13" s="9">
        <f t="shared" si="1"/>
        <v>2.2808668418499338</v>
      </c>
    </row>
    <row r="14" spans="1:12" x14ac:dyDescent="0.2">
      <c r="A14" s="31">
        <v>100</v>
      </c>
      <c r="B14" s="34">
        <v>294.58067999999997</v>
      </c>
      <c r="C14" s="30">
        <v>27.370539999999998</v>
      </c>
      <c r="D14" s="30">
        <v>0.98312999999999995</v>
      </c>
      <c r="E14" s="29"/>
      <c r="F14" s="29"/>
      <c r="G14" s="9">
        <f t="shared" si="0"/>
        <v>2.4673626377867559</v>
      </c>
      <c r="H14" s="9">
        <f t="shared" si="1"/>
        <v>2.4673626377867559</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175</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1.4191769990379892</v>
      </c>
      <c r="H9" s="9">
        <f t="shared" ref="H9:H14" si="1">B9/(C9+$D$5)^D9</f>
        <v>1.4191769990379892</v>
      </c>
      <c r="J9" s="29"/>
      <c r="K9" s="29"/>
      <c r="L9" s="30"/>
    </row>
    <row r="10" spans="1:12" x14ac:dyDescent="0.2">
      <c r="A10" s="31">
        <v>5</v>
      </c>
      <c r="B10" s="34">
        <v>253.41210000000001</v>
      </c>
      <c r="C10" s="30">
        <v>33.536160000000002</v>
      </c>
      <c r="D10" s="30">
        <v>1.0226599999999999</v>
      </c>
      <c r="E10" s="29"/>
      <c r="F10" s="29"/>
      <c r="G10" s="9">
        <f t="shared" si="0"/>
        <v>1.6699468316612065</v>
      </c>
      <c r="H10" s="9">
        <f t="shared" si="1"/>
        <v>1.6699468316612065</v>
      </c>
      <c r="J10" s="29"/>
      <c r="K10" s="29"/>
      <c r="L10" s="30"/>
    </row>
    <row r="11" spans="1:12" x14ac:dyDescent="0.2">
      <c r="A11" s="31">
        <v>10</v>
      </c>
      <c r="B11" s="34">
        <v>263.81267000000003</v>
      </c>
      <c r="C11" s="30">
        <v>31.956610000000001</v>
      </c>
      <c r="D11" s="30">
        <v>1.0126200000000001</v>
      </c>
      <c r="E11" s="29"/>
      <c r="F11" s="29"/>
      <c r="G11" s="35">
        <f t="shared" si="0"/>
        <v>1.8481220885312351</v>
      </c>
      <c r="H11" s="118">
        <f t="shared" si="1"/>
        <v>1.8481220885312351</v>
      </c>
      <c r="J11" s="29"/>
      <c r="K11" s="29"/>
      <c r="L11" s="30"/>
    </row>
    <row r="12" spans="1:12" x14ac:dyDescent="0.2">
      <c r="A12" s="31">
        <v>25</v>
      </c>
      <c r="B12" s="34">
        <v>277.26485000000002</v>
      </c>
      <c r="C12" s="30">
        <v>29.960899999999999</v>
      </c>
      <c r="D12" s="30">
        <v>0.99975000000000003</v>
      </c>
      <c r="E12" s="29"/>
      <c r="F12" s="29"/>
      <c r="G12" s="9">
        <f t="shared" si="0"/>
        <v>2.1000006406339646</v>
      </c>
      <c r="H12" s="9">
        <f t="shared" si="1"/>
        <v>2.1000006406339646</v>
      </c>
      <c r="J12" s="29"/>
      <c r="K12" s="29"/>
      <c r="L12" s="30"/>
    </row>
    <row r="13" spans="1:12" x14ac:dyDescent="0.2">
      <c r="A13" s="31">
        <v>50</v>
      </c>
      <c r="B13" s="34">
        <v>286.66127999999998</v>
      </c>
      <c r="C13" s="30">
        <v>28.568349999999999</v>
      </c>
      <c r="D13" s="30">
        <v>0.99075999999999997</v>
      </c>
      <c r="E13" s="29"/>
      <c r="F13" s="29"/>
      <c r="G13" s="9">
        <f t="shared" si="0"/>
        <v>2.2925564556541009</v>
      </c>
      <c r="H13" s="9">
        <f t="shared" si="1"/>
        <v>2.2925564556541009</v>
      </c>
    </row>
    <row r="14" spans="1:12" x14ac:dyDescent="0.2">
      <c r="A14" s="31">
        <v>100</v>
      </c>
      <c r="B14" s="34">
        <v>295.16735</v>
      </c>
      <c r="C14" s="30">
        <v>27.279720000000001</v>
      </c>
      <c r="D14" s="30">
        <v>0.98255999999999999</v>
      </c>
      <c r="E14" s="29"/>
      <c r="F14" s="29"/>
      <c r="G14" s="9">
        <f t="shared" si="0"/>
        <v>2.4808491787470608</v>
      </c>
      <c r="H14" s="9">
        <f t="shared" si="1"/>
        <v>2.4808491787470608</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137</v>
      </c>
    </row>
    <row r="3" spans="1:11" x14ac:dyDescent="0.2">
      <c r="K3" t="s">
        <v>138</v>
      </c>
    </row>
    <row r="4" spans="1:11" x14ac:dyDescent="0.2">
      <c r="A4" s="212" t="s">
        <v>122</v>
      </c>
      <c r="B4" s="212"/>
      <c r="C4" s="212"/>
      <c r="D4" s="212"/>
      <c r="E4" s="212"/>
      <c r="K4" t="s">
        <v>139</v>
      </c>
    </row>
    <row r="5" spans="1:11" x14ac:dyDescent="0.2">
      <c r="A5" s="212"/>
      <c r="B5" s="212"/>
      <c r="C5" s="212"/>
      <c r="D5" s="212"/>
      <c r="E5" s="212"/>
      <c r="K5" t="s">
        <v>140</v>
      </c>
    </row>
    <row r="6" spans="1:11" ht="25.5" x14ac:dyDescent="0.2">
      <c r="A6" s="38" t="s">
        <v>123</v>
      </c>
      <c r="B6" s="39" t="s">
        <v>124</v>
      </c>
      <c r="C6" s="39" t="s">
        <v>125</v>
      </c>
      <c r="D6" s="39" t="s">
        <v>126</v>
      </c>
      <c r="E6" s="39" t="s">
        <v>127</v>
      </c>
    </row>
    <row r="7" spans="1:11" x14ac:dyDescent="0.2">
      <c r="A7" s="4" t="s">
        <v>128</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129</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130</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131</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9" t="s">
        <v>178</v>
      </c>
      <c r="C2" s="209"/>
      <c r="D2" s="209"/>
      <c r="E2" s="209"/>
      <c r="F2" s="209"/>
      <c r="G2" s="209"/>
      <c r="H2" s="209"/>
      <c r="I2" s="209"/>
      <c r="J2" s="209"/>
    </row>
    <row r="3" spans="2:10" ht="13.5" thickBot="1" x14ac:dyDescent="0.25">
      <c r="B3" s="129" t="s">
        <v>176</v>
      </c>
      <c r="C3" s="130">
        <v>1</v>
      </c>
      <c r="D3" s="130">
        <v>2</v>
      </c>
      <c r="E3" s="130">
        <v>5</v>
      </c>
      <c r="F3" s="130">
        <v>10</v>
      </c>
      <c r="G3" s="130">
        <v>25</v>
      </c>
      <c r="H3" s="130">
        <v>50</v>
      </c>
      <c r="I3" s="130">
        <v>100</v>
      </c>
      <c r="J3" s="131" t="s">
        <v>177</v>
      </c>
    </row>
    <row r="4" spans="2:10" x14ac:dyDescent="0.2">
      <c r="B4" s="128" t="s">
        <v>149</v>
      </c>
      <c r="C4" s="132">
        <v>3.2</v>
      </c>
      <c r="D4" s="132">
        <v>3.5</v>
      </c>
      <c r="E4" s="132">
        <v>4.4000000000000004</v>
      </c>
      <c r="F4" s="132">
        <v>5.2</v>
      </c>
      <c r="G4" s="132">
        <v>6.5</v>
      </c>
      <c r="H4" s="132">
        <v>7.7</v>
      </c>
      <c r="I4" s="132">
        <v>9.1999999999999993</v>
      </c>
      <c r="J4" s="136">
        <v>250</v>
      </c>
    </row>
    <row r="5" spans="2:10" x14ac:dyDescent="0.2">
      <c r="B5" s="126" t="s">
        <v>150</v>
      </c>
      <c r="C5" s="133">
        <v>3.2</v>
      </c>
      <c r="D5" s="133">
        <v>3.7</v>
      </c>
      <c r="E5" s="133">
        <v>4.5999999999999996</v>
      </c>
      <c r="F5" s="133">
        <v>5.3</v>
      </c>
      <c r="G5" s="133">
        <v>6.5</v>
      </c>
      <c r="H5" s="133">
        <v>7.4</v>
      </c>
      <c r="I5" s="133">
        <v>8.4</v>
      </c>
      <c r="J5" s="137">
        <v>250</v>
      </c>
    </row>
    <row r="6" spans="2:10" x14ac:dyDescent="0.2">
      <c r="B6" s="125" t="s">
        <v>180</v>
      </c>
      <c r="C6" s="134">
        <v>3.4</v>
      </c>
      <c r="D6" s="134">
        <v>3.8</v>
      </c>
      <c r="E6" s="134">
        <v>5.0999999999999996</v>
      </c>
      <c r="F6" s="134">
        <v>6</v>
      </c>
      <c r="G6" s="134">
        <v>7</v>
      </c>
      <c r="H6" s="134">
        <v>7.8</v>
      </c>
      <c r="I6" s="134">
        <v>8.9</v>
      </c>
      <c r="J6" s="138">
        <v>300</v>
      </c>
    </row>
    <row r="7" spans="2:10" x14ac:dyDescent="0.2">
      <c r="B7" s="126" t="s">
        <v>151</v>
      </c>
      <c r="C7" s="133">
        <v>3.3</v>
      </c>
      <c r="D7" s="133">
        <v>3.6</v>
      </c>
      <c r="E7" s="133">
        <v>4.5</v>
      </c>
      <c r="F7" s="133">
        <v>5.5</v>
      </c>
      <c r="G7" s="133">
        <v>6.6</v>
      </c>
      <c r="H7" s="133">
        <v>7.9</v>
      </c>
      <c r="I7" s="133">
        <v>9.4</v>
      </c>
      <c r="J7" s="137">
        <v>275</v>
      </c>
    </row>
    <row r="8" spans="2:10" x14ac:dyDescent="0.2">
      <c r="B8" s="125" t="s">
        <v>181</v>
      </c>
      <c r="C8" s="134">
        <v>3.4</v>
      </c>
      <c r="D8" s="134">
        <v>3.6</v>
      </c>
      <c r="E8" s="134">
        <v>4.5999999999999996</v>
      </c>
      <c r="F8" s="134">
        <v>5.5</v>
      </c>
      <c r="G8" s="134">
        <v>6.8</v>
      </c>
      <c r="H8" s="134">
        <v>8.1</v>
      </c>
      <c r="I8" s="134">
        <v>9.4</v>
      </c>
      <c r="J8" s="138">
        <v>300</v>
      </c>
    </row>
    <row r="9" spans="2:10" x14ac:dyDescent="0.2">
      <c r="B9" s="126" t="s">
        <v>182</v>
      </c>
      <c r="C9" s="133">
        <v>3.3</v>
      </c>
      <c r="D9" s="133">
        <v>3.6</v>
      </c>
      <c r="E9" s="133">
        <v>4.5</v>
      </c>
      <c r="F9" s="133">
        <v>5.3</v>
      </c>
      <c r="G9" s="133">
        <v>6.4</v>
      </c>
      <c r="H9" s="133">
        <v>7.3</v>
      </c>
      <c r="I9" s="133">
        <v>8.4</v>
      </c>
      <c r="J9" s="137">
        <v>275</v>
      </c>
    </row>
    <row r="10" spans="2:10" x14ac:dyDescent="0.2">
      <c r="B10" s="125" t="s">
        <v>183</v>
      </c>
      <c r="C10" s="134">
        <v>3.7</v>
      </c>
      <c r="D10" s="134">
        <v>4.5</v>
      </c>
      <c r="E10" s="134">
        <v>5.8</v>
      </c>
      <c r="F10" s="134">
        <v>6.9</v>
      </c>
      <c r="G10" s="134">
        <v>8.4</v>
      </c>
      <c r="H10" s="134">
        <v>9.6999999999999993</v>
      </c>
      <c r="I10" s="134">
        <v>11</v>
      </c>
      <c r="J10" s="138">
        <v>400</v>
      </c>
    </row>
    <row r="11" spans="2:10" x14ac:dyDescent="0.2">
      <c r="B11" s="126" t="s">
        <v>184</v>
      </c>
      <c r="C11" s="133">
        <v>3.5</v>
      </c>
      <c r="D11" s="133">
        <v>3.8</v>
      </c>
      <c r="E11" s="133">
        <v>5</v>
      </c>
      <c r="F11" s="133">
        <v>5.9</v>
      </c>
      <c r="G11" s="133">
        <v>7.2</v>
      </c>
      <c r="H11" s="133">
        <v>8.1999999999999993</v>
      </c>
      <c r="I11" s="133">
        <v>9.4</v>
      </c>
      <c r="J11" s="137">
        <v>350</v>
      </c>
    </row>
    <row r="12" spans="2:10" x14ac:dyDescent="0.2">
      <c r="B12" s="125" t="s">
        <v>185</v>
      </c>
      <c r="C12" s="134">
        <v>3.6</v>
      </c>
      <c r="D12" s="134">
        <v>4</v>
      </c>
      <c r="E12" s="134">
        <v>5.2</v>
      </c>
      <c r="F12" s="134">
        <v>6.2</v>
      </c>
      <c r="G12" s="134">
        <v>7.5</v>
      </c>
      <c r="H12" s="134">
        <v>8.6</v>
      </c>
      <c r="I12" s="134">
        <v>9.8000000000000007</v>
      </c>
      <c r="J12" s="138">
        <v>350</v>
      </c>
    </row>
    <row r="13" spans="2:10" x14ac:dyDescent="0.2">
      <c r="B13" s="126" t="s">
        <v>186</v>
      </c>
      <c r="C13" s="133">
        <v>3.3</v>
      </c>
      <c r="D13" s="133">
        <v>3.5</v>
      </c>
      <c r="E13" s="133">
        <v>4.5</v>
      </c>
      <c r="F13" s="133">
        <v>5.4</v>
      </c>
      <c r="G13" s="133">
        <v>6.7</v>
      </c>
      <c r="H13" s="133">
        <v>7.9</v>
      </c>
      <c r="I13" s="133">
        <v>9.3000000000000007</v>
      </c>
      <c r="J13" s="137">
        <v>275</v>
      </c>
    </row>
    <row r="14" spans="2:10" x14ac:dyDescent="0.2">
      <c r="B14" s="125" t="s">
        <v>154</v>
      </c>
      <c r="C14" s="134">
        <v>3.8</v>
      </c>
      <c r="D14" s="134">
        <v>4.3</v>
      </c>
      <c r="E14" s="134">
        <v>5.5</v>
      </c>
      <c r="F14" s="134">
        <v>6.6</v>
      </c>
      <c r="G14" s="134">
        <v>8</v>
      </c>
      <c r="H14" s="134">
        <v>9.1999999999999993</v>
      </c>
      <c r="I14" s="134">
        <v>10.4</v>
      </c>
      <c r="J14" s="138">
        <v>400</v>
      </c>
    </row>
    <row r="15" spans="2:10" x14ac:dyDescent="0.2">
      <c r="B15" s="126" t="s">
        <v>187</v>
      </c>
      <c r="C15" s="133">
        <v>3</v>
      </c>
      <c r="D15" s="133">
        <v>3.7</v>
      </c>
      <c r="E15" s="133">
        <v>4.7</v>
      </c>
      <c r="F15" s="133">
        <v>5.4</v>
      </c>
      <c r="G15" s="133">
        <v>6.4</v>
      </c>
      <c r="H15" s="133">
        <v>7.3</v>
      </c>
      <c r="I15" s="133">
        <v>8.1</v>
      </c>
      <c r="J15" s="137">
        <v>275</v>
      </c>
    </row>
    <row r="16" spans="2:10" x14ac:dyDescent="0.2">
      <c r="B16" s="125" t="s">
        <v>188</v>
      </c>
      <c r="C16" s="134">
        <v>2.9</v>
      </c>
      <c r="D16" s="134">
        <v>3.6</v>
      </c>
      <c r="E16" s="134">
        <v>4.5999999999999996</v>
      </c>
      <c r="F16" s="134">
        <v>5.3</v>
      </c>
      <c r="G16" s="134">
        <v>6.3</v>
      </c>
      <c r="H16" s="134">
        <v>7.1</v>
      </c>
      <c r="I16" s="134">
        <v>8</v>
      </c>
      <c r="J16" s="138">
        <v>250</v>
      </c>
    </row>
    <row r="17" spans="2:10" x14ac:dyDescent="0.2">
      <c r="B17" s="126" t="s">
        <v>156</v>
      </c>
      <c r="C17" s="133">
        <v>3.1</v>
      </c>
      <c r="D17" s="133">
        <v>3.5</v>
      </c>
      <c r="E17" s="133">
        <v>4.5</v>
      </c>
      <c r="F17" s="133">
        <v>5.3</v>
      </c>
      <c r="G17" s="133">
        <v>6.6</v>
      </c>
      <c r="H17" s="133">
        <v>7.7</v>
      </c>
      <c r="I17" s="133">
        <v>9</v>
      </c>
      <c r="J17" s="137">
        <v>275</v>
      </c>
    </row>
    <row r="18" spans="2:10" x14ac:dyDescent="0.2">
      <c r="B18" s="125" t="s">
        <v>189</v>
      </c>
      <c r="C18" s="134">
        <v>3.4</v>
      </c>
      <c r="D18" s="134">
        <v>3.7</v>
      </c>
      <c r="E18" s="134">
        <v>4.7</v>
      </c>
      <c r="F18" s="134">
        <v>5.6</v>
      </c>
      <c r="G18" s="134">
        <v>7</v>
      </c>
      <c r="H18" s="134">
        <v>8.1999999999999993</v>
      </c>
      <c r="I18" s="134">
        <v>9.5</v>
      </c>
      <c r="J18" s="138">
        <v>300</v>
      </c>
    </row>
    <row r="19" spans="2:10" x14ac:dyDescent="0.2">
      <c r="B19" s="126" t="s">
        <v>190</v>
      </c>
      <c r="C19" s="133">
        <v>3.5</v>
      </c>
      <c r="D19" s="133">
        <v>3.5</v>
      </c>
      <c r="E19" s="133">
        <v>4.5</v>
      </c>
      <c r="F19" s="133">
        <v>5.4</v>
      </c>
      <c r="G19" s="133">
        <v>6.7</v>
      </c>
      <c r="H19" s="133">
        <v>7.9</v>
      </c>
      <c r="I19" s="133">
        <v>9.1999999999999993</v>
      </c>
      <c r="J19" s="137">
        <v>350</v>
      </c>
    </row>
    <row r="20" spans="2:10" x14ac:dyDescent="0.2">
      <c r="B20" s="125" t="s">
        <v>191</v>
      </c>
      <c r="C20" s="134">
        <v>3.6</v>
      </c>
      <c r="D20" s="134">
        <v>4</v>
      </c>
      <c r="E20" s="134">
        <v>5.2</v>
      </c>
      <c r="F20" s="134">
        <v>6.1</v>
      </c>
      <c r="G20" s="134">
        <v>7.5</v>
      </c>
      <c r="H20" s="134">
        <v>8.6</v>
      </c>
      <c r="I20" s="134">
        <v>9.6999999999999993</v>
      </c>
      <c r="J20" s="138">
        <v>350</v>
      </c>
    </row>
    <row r="21" spans="2:10" x14ac:dyDescent="0.2">
      <c r="B21" s="126" t="s">
        <v>192</v>
      </c>
      <c r="C21" s="133">
        <v>3.2</v>
      </c>
      <c r="D21" s="133">
        <v>3.5</v>
      </c>
      <c r="E21" s="133">
        <v>4.5</v>
      </c>
      <c r="F21" s="133">
        <v>5.4</v>
      </c>
      <c r="G21" s="133">
        <v>6.7</v>
      </c>
      <c r="H21" s="133">
        <v>8</v>
      </c>
      <c r="I21" s="133">
        <v>9.3000000000000007</v>
      </c>
      <c r="J21" s="137">
        <v>300</v>
      </c>
    </row>
    <row r="22" spans="2:10" x14ac:dyDescent="0.2">
      <c r="B22" s="125" t="s">
        <v>228</v>
      </c>
      <c r="C22" s="134">
        <v>3.3</v>
      </c>
      <c r="D22" s="134">
        <v>3.6</v>
      </c>
      <c r="E22" s="134">
        <v>4.7</v>
      </c>
      <c r="F22" s="134">
        <v>5.5</v>
      </c>
      <c r="G22" s="134">
        <v>6.8</v>
      </c>
      <c r="H22" s="134">
        <v>8.8000000000000007</v>
      </c>
      <c r="I22" s="134">
        <v>10</v>
      </c>
      <c r="J22" s="138">
        <v>325</v>
      </c>
    </row>
    <row r="23" spans="2:10" x14ac:dyDescent="0.2">
      <c r="B23" s="126" t="s">
        <v>227</v>
      </c>
      <c r="C23" s="133">
        <v>3.4</v>
      </c>
      <c r="D23" s="133">
        <v>3.8</v>
      </c>
      <c r="E23" s="133">
        <v>4.9000000000000004</v>
      </c>
      <c r="F23" s="133">
        <v>5.8</v>
      </c>
      <c r="G23" s="133">
        <v>7.1</v>
      </c>
      <c r="H23" s="133">
        <v>8.1</v>
      </c>
      <c r="I23" s="133">
        <v>9.3000000000000007</v>
      </c>
      <c r="J23" s="137">
        <v>325</v>
      </c>
    </row>
    <row r="24" spans="2:10" x14ac:dyDescent="0.2">
      <c r="B24" s="125" t="s">
        <v>226</v>
      </c>
      <c r="C24" s="134">
        <v>3.6</v>
      </c>
      <c r="D24" s="134">
        <v>4.2</v>
      </c>
      <c r="E24" s="134">
        <v>5.4</v>
      </c>
      <c r="F24" s="134">
        <v>6.4</v>
      </c>
      <c r="G24" s="134">
        <v>7.8</v>
      </c>
      <c r="H24" s="134">
        <v>8.9</v>
      </c>
      <c r="I24" s="134">
        <v>10.1</v>
      </c>
      <c r="J24" s="138">
        <v>325</v>
      </c>
    </row>
    <row r="25" spans="2:10" x14ac:dyDescent="0.2">
      <c r="B25" s="126" t="s">
        <v>225</v>
      </c>
      <c r="C25" s="133">
        <v>3.2</v>
      </c>
      <c r="D25" s="133">
        <v>3.1</v>
      </c>
      <c r="E25" s="133">
        <v>4.5</v>
      </c>
      <c r="F25" s="133">
        <v>5.2</v>
      </c>
      <c r="G25" s="133">
        <v>6.3</v>
      </c>
      <c r="H25" s="133">
        <v>7.2</v>
      </c>
      <c r="I25" s="133">
        <v>8.1999999999999993</v>
      </c>
      <c r="J25" s="137">
        <v>250</v>
      </c>
    </row>
    <row r="26" spans="2:10" x14ac:dyDescent="0.2">
      <c r="B26" s="125" t="s">
        <v>224</v>
      </c>
      <c r="C26" s="134">
        <v>3</v>
      </c>
      <c r="D26" s="134">
        <v>3.5</v>
      </c>
      <c r="E26" s="134">
        <v>4.4000000000000004</v>
      </c>
      <c r="F26" s="134">
        <v>5.0999999999999996</v>
      </c>
      <c r="G26" s="134">
        <v>6.2</v>
      </c>
      <c r="H26" s="134">
        <v>7.1</v>
      </c>
      <c r="I26" s="134">
        <v>8</v>
      </c>
      <c r="J26" s="138">
        <v>250</v>
      </c>
    </row>
    <row r="27" spans="2:10" x14ac:dyDescent="0.2">
      <c r="B27" s="126" t="s">
        <v>223</v>
      </c>
      <c r="C27" s="133">
        <v>3.3</v>
      </c>
      <c r="D27" s="133">
        <v>3.5</v>
      </c>
      <c r="E27" s="133">
        <v>4.5</v>
      </c>
      <c r="F27" s="133">
        <v>5.4</v>
      </c>
      <c r="G27" s="133">
        <v>6.7</v>
      </c>
      <c r="H27" s="133">
        <v>7.9</v>
      </c>
      <c r="I27" s="133">
        <v>9.1999999999999993</v>
      </c>
      <c r="J27" s="137">
        <v>325</v>
      </c>
    </row>
    <row r="28" spans="2:10" x14ac:dyDescent="0.2">
      <c r="B28" s="125" t="s">
        <v>222</v>
      </c>
      <c r="C28" s="134">
        <v>3.3</v>
      </c>
      <c r="D28" s="134">
        <v>3.7</v>
      </c>
      <c r="E28" s="134">
        <v>4.7</v>
      </c>
      <c r="F28" s="134">
        <v>5.6</v>
      </c>
      <c r="G28" s="134">
        <v>7</v>
      </c>
      <c r="H28" s="134">
        <v>8.1999999999999993</v>
      </c>
      <c r="I28" s="134">
        <v>9.6</v>
      </c>
      <c r="J28" s="138">
        <v>325</v>
      </c>
    </row>
    <row r="29" spans="2:10" x14ac:dyDescent="0.2">
      <c r="B29" s="126" t="s">
        <v>221</v>
      </c>
      <c r="C29" s="133">
        <v>3.6</v>
      </c>
      <c r="D29" s="133">
        <v>4.5999999999999996</v>
      </c>
      <c r="E29" s="133">
        <v>5.9</v>
      </c>
      <c r="F29" s="133">
        <v>7</v>
      </c>
      <c r="G29" s="133">
        <v>8.5</v>
      </c>
      <c r="H29" s="133">
        <v>9.8000000000000007</v>
      </c>
      <c r="I29" s="133">
        <v>11.1</v>
      </c>
      <c r="J29" s="137">
        <v>350</v>
      </c>
    </row>
    <row r="30" spans="2:10" x14ac:dyDescent="0.2">
      <c r="B30" s="125" t="s">
        <v>220</v>
      </c>
      <c r="C30" s="134">
        <v>3.6</v>
      </c>
      <c r="D30" s="134">
        <v>3.9</v>
      </c>
      <c r="E30" s="134">
        <v>5.0999999999999996</v>
      </c>
      <c r="F30" s="134">
        <v>6</v>
      </c>
      <c r="G30" s="134">
        <v>7.4</v>
      </c>
      <c r="H30" s="134">
        <v>8.4</v>
      </c>
      <c r="I30" s="134">
        <v>9.6</v>
      </c>
      <c r="J30" s="138">
        <v>350</v>
      </c>
    </row>
    <row r="31" spans="2:10" x14ac:dyDescent="0.2">
      <c r="B31" s="126" t="s">
        <v>219</v>
      </c>
      <c r="C31" s="133">
        <v>4</v>
      </c>
      <c r="D31" s="133">
        <v>4.2</v>
      </c>
      <c r="E31" s="133">
        <v>5.3</v>
      </c>
      <c r="F31" s="133">
        <v>6.1</v>
      </c>
      <c r="G31" s="133">
        <v>7.3</v>
      </c>
      <c r="H31" s="133">
        <v>8.3000000000000007</v>
      </c>
      <c r="I31" s="133">
        <v>9.3000000000000007</v>
      </c>
      <c r="J31" s="137">
        <v>300</v>
      </c>
    </row>
    <row r="32" spans="2:10" x14ac:dyDescent="0.2">
      <c r="B32" s="125" t="s">
        <v>218</v>
      </c>
      <c r="C32" s="134">
        <v>3.4</v>
      </c>
      <c r="D32" s="134">
        <v>3.7</v>
      </c>
      <c r="E32" s="134">
        <v>4.5999999999999996</v>
      </c>
      <c r="F32" s="134">
        <v>5.4</v>
      </c>
      <c r="G32" s="134">
        <v>6.7</v>
      </c>
      <c r="H32" s="134">
        <v>7.8</v>
      </c>
      <c r="I32" s="134">
        <v>9.1</v>
      </c>
      <c r="J32" s="138">
        <v>300</v>
      </c>
    </row>
    <row r="33" spans="2:10" x14ac:dyDescent="0.2">
      <c r="B33" s="126" t="s">
        <v>162</v>
      </c>
      <c r="C33" s="133">
        <v>3.1</v>
      </c>
      <c r="D33" s="133">
        <v>3.5</v>
      </c>
      <c r="E33" s="133">
        <v>4.4000000000000004</v>
      </c>
      <c r="F33" s="133">
        <v>5.0999999999999996</v>
      </c>
      <c r="G33" s="133">
        <v>6.4</v>
      </c>
      <c r="H33" s="133">
        <v>7.6</v>
      </c>
      <c r="I33" s="133">
        <v>9</v>
      </c>
      <c r="J33" s="137">
        <v>250</v>
      </c>
    </row>
    <row r="34" spans="2:10" x14ac:dyDescent="0.2">
      <c r="B34" s="125" t="s">
        <v>217</v>
      </c>
      <c r="C34" s="134">
        <v>3.4</v>
      </c>
      <c r="D34" s="134">
        <v>3.8</v>
      </c>
      <c r="E34" s="134">
        <v>4.9000000000000004</v>
      </c>
      <c r="F34" s="134">
        <v>5.8</v>
      </c>
      <c r="G34" s="134">
        <v>7.1</v>
      </c>
      <c r="H34" s="134">
        <v>8.1999999999999993</v>
      </c>
      <c r="I34" s="134">
        <v>9.3000000000000007</v>
      </c>
      <c r="J34" s="138">
        <v>325</v>
      </c>
    </row>
    <row r="35" spans="2:10" x14ac:dyDescent="0.2">
      <c r="B35" s="126" t="s">
        <v>216</v>
      </c>
      <c r="C35" s="133">
        <v>3.4</v>
      </c>
      <c r="D35" s="133">
        <v>4.2</v>
      </c>
      <c r="E35" s="133">
        <v>5.4</v>
      </c>
      <c r="F35" s="133">
        <v>6.4</v>
      </c>
      <c r="G35" s="133">
        <v>7.8</v>
      </c>
      <c r="H35" s="133">
        <v>9</v>
      </c>
      <c r="I35" s="133">
        <v>10.199999999999999</v>
      </c>
      <c r="J35" s="137">
        <v>325</v>
      </c>
    </row>
    <row r="36" spans="2:10" x14ac:dyDescent="0.2">
      <c r="B36" s="125" t="s">
        <v>215</v>
      </c>
      <c r="C36" s="134">
        <v>3.4</v>
      </c>
      <c r="D36" s="134">
        <v>4.0999999999999996</v>
      </c>
      <c r="E36" s="134">
        <v>5.3</v>
      </c>
      <c r="F36" s="134">
        <v>6.3</v>
      </c>
      <c r="G36" s="134">
        <v>7.9</v>
      </c>
      <c r="H36" s="134">
        <v>9.3000000000000007</v>
      </c>
      <c r="I36" s="134">
        <v>10.8</v>
      </c>
      <c r="J36" s="138">
        <v>350</v>
      </c>
    </row>
    <row r="37" spans="2:10" x14ac:dyDescent="0.2">
      <c r="B37" s="126" t="s">
        <v>214</v>
      </c>
      <c r="C37" s="133">
        <v>3.6</v>
      </c>
      <c r="D37" s="133">
        <v>4.2</v>
      </c>
      <c r="E37" s="133">
        <v>5.4</v>
      </c>
      <c r="F37" s="133">
        <v>6.4</v>
      </c>
      <c r="G37" s="133">
        <v>7.8</v>
      </c>
      <c r="H37" s="133">
        <v>9</v>
      </c>
      <c r="I37" s="133">
        <v>10.199999999999999</v>
      </c>
      <c r="J37" s="137">
        <v>350</v>
      </c>
    </row>
    <row r="38" spans="2:10" x14ac:dyDescent="0.2">
      <c r="B38" s="125" t="s">
        <v>213</v>
      </c>
      <c r="C38" s="134">
        <v>3.5</v>
      </c>
      <c r="D38" s="134">
        <v>4.2</v>
      </c>
      <c r="E38" s="134">
        <v>5.4</v>
      </c>
      <c r="F38" s="134">
        <v>6.4</v>
      </c>
      <c r="G38" s="134">
        <v>7.8</v>
      </c>
      <c r="H38" s="134">
        <v>9</v>
      </c>
      <c r="I38" s="134">
        <v>10.199999999999999</v>
      </c>
      <c r="J38" s="138">
        <v>350</v>
      </c>
    </row>
    <row r="39" spans="2:10" x14ac:dyDescent="0.2">
      <c r="B39" s="126" t="s">
        <v>212</v>
      </c>
      <c r="C39" s="133">
        <v>3.1</v>
      </c>
      <c r="D39" s="133">
        <v>3.5</v>
      </c>
      <c r="E39" s="133">
        <v>4.4000000000000004</v>
      </c>
      <c r="F39" s="133">
        <v>5.0999999999999996</v>
      </c>
      <c r="G39" s="133">
        <v>6.2</v>
      </c>
      <c r="H39" s="133">
        <v>7.1</v>
      </c>
      <c r="I39" s="133">
        <v>8.1</v>
      </c>
      <c r="J39" s="137">
        <v>275</v>
      </c>
    </row>
    <row r="40" spans="2:10" x14ac:dyDescent="0.2">
      <c r="B40" s="125" t="s">
        <v>211</v>
      </c>
      <c r="C40" s="134">
        <v>3</v>
      </c>
      <c r="D40" s="134">
        <v>3.5</v>
      </c>
      <c r="E40" s="134">
        <v>4.4000000000000004</v>
      </c>
      <c r="F40" s="134">
        <v>5.2</v>
      </c>
      <c r="G40" s="134">
        <v>6.2</v>
      </c>
      <c r="H40" s="134">
        <v>7</v>
      </c>
      <c r="I40" s="134">
        <v>7.9</v>
      </c>
      <c r="J40" s="138">
        <v>250</v>
      </c>
    </row>
    <row r="41" spans="2:10" x14ac:dyDescent="0.2">
      <c r="B41" s="126" t="s">
        <v>164</v>
      </c>
      <c r="C41" s="133">
        <v>3.1</v>
      </c>
      <c r="D41" s="133">
        <v>3.6</v>
      </c>
      <c r="E41" s="133">
        <v>4.4000000000000004</v>
      </c>
      <c r="F41" s="133">
        <v>5.2</v>
      </c>
      <c r="G41" s="133">
        <v>6.5</v>
      </c>
      <c r="H41" s="133">
        <v>7.7</v>
      </c>
      <c r="I41" s="133">
        <v>9.1999999999999993</v>
      </c>
      <c r="J41" s="137">
        <v>250</v>
      </c>
    </row>
    <row r="42" spans="2:10" x14ac:dyDescent="0.2">
      <c r="B42" s="125" t="s">
        <v>210</v>
      </c>
      <c r="C42" s="134">
        <v>3.2</v>
      </c>
      <c r="D42" s="134">
        <v>3.5</v>
      </c>
      <c r="E42" s="134">
        <v>4.5</v>
      </c>
      <c r="F42" s="134">
        <v>5.4</v>
      </c>
      <c r="G42" s="134">
        <v>6.7</v>
      </c>
      <c r="H42" s="134">
        <v>7.9</v>
      </c>
      <c r="I42" s="134">
        <v>9.3000000000000007</v>
      </c>
      <c r="J42" s="138">
        <v>275</v>
      </c>
    </row>
    <row r="43" spans="2:10" x14ac:dyDescent="0.2">
      <c r="B43" s="126" t="s">
        <v>165</v>
      </c>
      <c r="C43" s="133">
        <v>3.1</v>
      </c>
      <c r="D43" s="133">
        <v>3.6</v>
      </c>
      <c r="E43" s="133">
        <v>4.5</v>
      </c>
      <c r="F43" s="133">
        <v>5.3</v>
      </c>
      <c r="G43" s="133">
        <v>6.4</v>
      </c>
      <c r="H43" s="133">
        <v>7.3</v>
      </c>
      <c r="I43" s="133">
        <v>8.3000000000000007</v>
      </c>
      <c r="J43" s="137">
        <v>250</v>
      </c>
    </row>
    <row r="44" spans="2:10" x14ac:dyDescent="0.2">
      <c r="B44" s="125" t="s">
        <v>209</v>
      </c>
      <c r="C44" s="134">
        <v>3.3</v>
      </c>
      <c r="D44" s="134">
        <v>3.7</v>
      </c>
      <c r="E44" s="134">
        <v>4.8</v>
      </c>
      <c r="F44" s="134">
        <v>5.7</v>
      </c>
      <c r="G44" s="134">
        <v>6.9</v>
      </c>
      <c r="H44" s="134">
        <v>8</v>
      </c>
      <c r="I44" s="134">
        <v>9.1</v>
      </c>
      <c r="J44" s="138">
        <v>325</v>
      </c>
    </row>
    <row r="45" spans="2:10" x14ac:dyDescent="0.2">
      <c r="B45" s="126" t="s">
        <v>208</v>
      </c>
      <c r="C45" s="133">
        <v>3.4</v>
      </c>
      <c r="D45" s="133">
        <v>4.2</v>
      </c>
      <c r="E45" s="133">
        <v>5.5</v>
      </c>
      <c r="F45" s="133">
        <v>6.5</v>
      </c>
      <c r="G45" s="133">
        <v>7.9</v>
      </c>
      <c r="H45" s="133">
        <v>9.1</v>
      </c>
      <c r="I45" s="133">
        <v>10.3</v>
      </c>
      <c r="J45" s="137">
        <v>325</v>
      </c>
    </row>
    <row r="46" spans="2:10" x14ac:dyDescent="0.2">
      <c r="B46" s="125" t="s">
        <v>207</v>
      </c>
      <c r="C46" s="134">
        <v>3.2</v>
      </c>
      <c r="D46" s="134">
        <v>3.5</v>
      </c>
      <c r="E46" s="134">
        <v>4.5</v>
      </c>
      <c r="F46" s="134">
        <v>5.4</v>
      </c>
      <c r="G46" s="134">
        <v>6.5</v>
      </c>
      <c r="H46" s="134">
        <v>7.5</v>
      </c>
      <c r="I46" s="134">
        <v>8.5</v>
      </c>
      <c r="J46" s="138">
        <v>300</v>
      </c>
    </row>
    <row r="47" spans="2:10" x14ac:dyDescent="0.2">
      <c r="B47" s="126" t="s">
        <v>166</v>
      </c>
      <c r="C47" s="133">
        <v>3.2</v>
      </c>
      <c r="D47" s="133">
        <v>3.5</v>
      </c>
      <c r="E47" s="133">
        <v>4.4000000000000004</v>
      </c>
      <c r="F47" s="133">
        <v>5.2</v>
      </c>
      <c r="G47" s="133">
        <v>6.4</v>
      </c>
      <c r="H47" s="133">
        <v>7.5</v>
      </c>
      <c r="I47" s="133">
        <v>8.9</v>
      </c>
      <c r="J47" s="137">
        <v>250</v>
      </c>
    </row>
    <row r="48" spans="2:10" x14ac:dyDescent="0.2">
      <c r="B48" s="125" t="s">
        <v>168</v>
      </c>
      <c r="C48" s="134">
        <v>3</v>
      </c>
      <c r="D48" s="134">
        <v>3.6</v>
      </c>
      <c r="E48" s="134">
        <v>4.5</v>
      </c>
      <c r="F48" s="134">
        <v>5.3</v>
      </c>
      <c r="G48" s="134">
        <v>6.4</v>
      </c>
      <c r="H48" s="134">
        <v>7.3</v>
      </c>
      <c r="I48" s="134">
        <v>8.4</v>
      </c>
      <c r="J48" s="138">
        <v>250</v>
      </c>
    </row>
    <row r="49" spans="2:10" x14ac:dyDescent="0.2">
      <c r="B49" s="126" t="s">
        <v>206</v>
      </c>
      <c r="C49" s="133">
        <v>4.5</v>
      </c>
      <c r="D49" s="133">
        <v>4.7</v>
      </c>
      <c r="E49" s="133">
        <v>5.8</v>
      </c>
      <c r="F49" s="133">
        <v>6.7</v>
      </c>
      <c r="G49" s="133">
        <v>7.8</v>
      </c>
      <c r="H49" s="133">
        <v>8.8000000000000007</v>
      </c>
      <c r="I49" s="133">
        <v>9.8000000000000007</v>
      </c>
      <c r="J49" s="137">
        <v>300</v>
      </c>
    </row>
    <row r="50" spans="2:10" x14ac:dyDescent="0.2">
      <c r="B50" s="125" t="s">
        <v>205</v>
      </c>
      <c r="C50" s="134">
        <v>3.5</v>
      </c>
      <c r="D50" s="134">
        <v>3.8</v>
      </c>
      <c r="E50" s="134">
        <v>4.7</v>
      </c>
      <c r="F50" s="134">
        <v>5.5</v>
      </c>
      <c r="G50" s="134">
        <v>6.6</v>
      </c>
      <c r="H50" s="134">
        <v>7.6</v>
      </c>
      <c r="I50" s="134">
        <v>8.6</v>
      </c>
      <c r="J50" s="138">
        <v>300</v>
      </c>
    </row>
    <row r="51" spans="2:10" x14ac:dyDescent="0.2">
      <c r="B51" s="126" t="s">
        <v>204</v>
      </c>
      <c r="C51" s="133">
        <v>3.3</v>
      </c>
      <c r="D51" s="133">
        <v>3.8</v>
      </c>
      <c r="E51" s="133">
        <v>4.9000000000000004</v>
      </c>
      <c r="F51" s="133">
        <v>5.8</v>
      </c>
      <c r="G51" s="133">
        <v>7.1</v>
      </c>
      <c r="H51" s="133">
        <v>8.1</v>
      </c>
      <c r="I51" s="133">
        <v>9.3000000000000007</v>
      </c>
      <c r="J51" s="137">
        <v>275</v>
      </c>
    </row>
    <row r="52" spans="2:10" x14ac:dyDescent="0.2">
      <c r="B52" s="125" t="s">
        <v>203</v>
      </c>
      <c r="C52" s="134">
        <v>3.3</v>
      </c>
      <c r="D52" s="134">
        <v>3.6</v>
      </c>
      <c r="E52" s="134">
        <v>4.5</v>
      </c>
      <c r="F52" s="134">
        <v>5.4</v>
      </c>
      <c r="G52" s="134">
        <v>6.8</v>
      </c>
      <c r="H52" s="134">
        <v>8</v>
      </c>
      <c r="I52" s="134">
        <v>9.3000000000000007</v>
      </c>
      <c r="J52" s="138">
        <v>275</v>
      </c>
    </row>
    <row r="53" spans="2:10" x14ac:dyDescent="0.2">
      <c r="B53" s="126" t="s">
        <v>202</v>
      </c>
      <c r="C53" s="133">
        <v>4.2</v>
      </c>
      <c r="D53" s="133">
        <v>5.0999999999999996</v>
      </c>
      <c r="E53" s="133">
        <v>6.2</v>
      </c>
      <c r="F53" s="133">
        <v>7.2</v>
      </c>
      <c r="G53" s="133">
        <v>8.5</v>
      </c>
      <c r="H53" s="133">
        <v>9.5</v>
      </c>
      <c r="I53" s="133">
        <v>10.6</v>
      </c>
      <c r="J53" s="137">
        <v>300</v>
      </c>
    </row>
    <row r="54" spans="2:10" x14ac:dyDescent="0.2">
      <c r="B54" s="125" t="s">
        <v>201</v>
      </c>
      <c r="C54" s="134">
        <v>3.7</v>
      </c>
      <c r="D54" s="134">
        <v>4.0999999999999996</v>
      </c>
      <c r="E54" s="134">
        <v>5</v>
      </c>
      <c r="F54" s="134">
        <v>5.8</v>
      </c>
      <c r="G54" s="134">
        <v>6.9</v>
      </c>
      <c r="H54" s="134">
        <v>7.8</v>
      </c>
      <c r="I54" s="134">
        <v>8.8000000000000007</v>
      </c>
      <c r="J54" s="138">
        <v>300</v>
      </c>
    </row>
    <row r="55" spans="2:10" x14ac:dyDescent="0.2">
      <c r="B55" s="126" t="s">
        <v>200</v>
      </c>
      <c r="C55" s="133">
        <v>3.1</v>
      </c>
      <c r="D55" s="133">
        <v>3.6</v>
      </c>
      <c r="E55" s="133">
        <v>4.5</v>
      </c>
      <c r="F55" s="133">
        <v>5.3</v>
      </c>
      <c r="G55" s="133">
        <v>6.4</v>
      </c>
      <c r="H55" s="133">
        <v>7.3</v>
      </c>
      <c r="I55" s="133">
        <v>8.3000000000000007</v>
      </c>
      <c r="J55" s="137">
        <v>275</v>
      </c>
    </row>
    <row r="56" spans="2:10" x14ac:dyDescent="0.2">
      <c r="B56" s="125" t="s">
        <v>199</v>
      </c>
      <c r="C56" s="134">
        <v>3.4</v>
      </c>
      <c r="D56" s="134">
        <v>3.6</v>
      </c>
      <c r="E56" s="134">
        <v>4.5</v>
      </c>
      <c r="F56" s="134">
        <v>5.2</v>
      </c>
      <c r="G56" s="134">
        <v>6.3</v>
      </c>
      <c r="H56" s="134">
        <v>7.2</v>
      </c>
      <c r="I56" s="134">
        <v>8.1999999999999993</v>
      </c>
      <c r="J56" s="138">
        <v>250</v>
      </c>
    </row>
    <row r="57" spans="2:10" x14ac:dyDescent="0.2">
      <c r="B57" s="126" t="s">
        <v>198</v>
      </c>
      <c r="C57" s="133">
        <v>3.4</v>
      </c>
      <c r="D57" s="133">
        <v>4.5</v>
      </c>
      <c r="E57" s="133">
        <v>5.5</v>
      </c>
      <c r="F57" s="133">
        <v>6.3</v>
      </c>
      <c r="G57" s="133">
        <v>7.5</v>
      </c>
      <c r="H57" s="133">
        <v>8.5</v>
      </c>
      <c r="I57" s="133">
        <v>9.5</v>
      </c>
      <c r="J57" s="137">
        <v>300</v>
      </c>
    </row>
    <row r="58" spans="2:10" x14ac:dyDescent="0.2">
      <c r="B58" s="125" t="s">
        <v>197</v>
      </c>
      <c r="C58" s="134">
        <v>3.1</v>
      </c>
      <c r="D58" s="134">
        <v>3.8</v>
      </c>
      <c r="E58" s="134">
        <v>4.8</v>
      </c>
      <c r="F58" s="134">
        <v>5.5</v>
      </c>
      <c r="G58" s="134">
        <v>6.6</v>
      </c>
      <c r="H58" s="134">
        <v>7.4</v>
      </c>
      <c r="I58" s="134">
        <v>8.3000000000000007</v>
      </c>
      <c r="J58" s="138">
        <v>275</v>
      </c>
    </row>
    <row r="59" spans="2:10" x14ac:dyDescent="0.2">
      <c r="B59" s="126" t="s">
        <v>196</v>
      </c>
      <c r="C59" s="133">
        <v>3.1</v>
      </c>
      <c r="D59" s="133">
        <v>3.6</v>
      </c>
      <c r="E59" s="133">
        <v>4.5</v>
      </c>
      <c r="F59" s="133">
        <v>5.5</v>
      </c>
      <c r="G59" s="133">
        <v>6.4</v>
      </c>
      <c r="H59" s="133">
        <v>7.8</v>
      </c>
      <c r="I59" s="133">
        <v>9.3000000000000007</v>
      </c>
      <c r="J59" s="137">
        <v>275</v>
      </c>
    </row>
    <row r="60" spans="2:10" x14ac:dyDescent="0.2">
      <c r="B60" s="125" t="s">
        <v>195</v>
      </c>
      <c r="C60" s="134">
        <v>3.1</v>
      </c>
      <c r="D60" s="134">
        <v>3.7</v>
      </c>
      <c r="E60" s="134">
        <v>4.5999999999999996</v>
      </c>
      <c r="F60" s="134">
        <v>5.4</v>
      </c>
      <c r="G60" s="134">
        <v>6.7</v>
      </c>
      <c r="H60" s="134">
        <v>7.9</v>
      </c>
      <c r="I60" s="134">
        <v>9.4</v>
      </c>
      <c r="J60" s="138">
        <v>275</v>
      </c>
    </row>
    <row r="61" spans="2:10" x14ac:dyDescent="0.2">
      <c r="B61" s="126" t="s">
        <v>173</v>
      </c>
      <c r="C61" s="133">
        <v>3.2</v>
      </c>
      <c r="D61" s="133">
        <v>3.6</v>
      </c>
      <c r="E61" s="133">
        <v>4.5999999999999996</v>
      </c>
      <c r="F61" s="133">
        <v>5.5</v>
      </c>
      <c r="G61" s="133">
        <v>6.9</v>
      </c>
      <c r="H61" s="133">
        <v>8.1</v>
      </c>
      <c r="I61" s="133">
        <v>9.5</v>
      </c>
      <c r="J61" s="137">
        <v>275</v>
      </c>
    </row>
    <row r="62" spans="2:10" x14ac:dyDescent="0.2">
      <c r="B62" s="125" t="s">
        <v>174</v>
      </c>
      <c r="C62" s="134">
        <v>3</v>
      </c>
      <c r="D62" s="134">
        <v>3.6</v>
      </c>
      <c r="E62" s="134">
        <v>4.5</v>
      </c>
      <c r="F62" s="134">
        <v>5.2</v>
      </c>
      <c r="G62" s="134">
        <v>6.5</v>
      </c>
      <c r="H62" s="134">
        <v>7.7</v>
      </c>
      <c r="I62" s="134">
        <v>9.1</v>
      </c>
      <c r="J62" s="138">
        <v>250</v>
      </c>
    </row>
    <row r="63" spans="2:10" x14ac:dyDescent="0.2">
      <c r="B63" s="126" t="s">
        <v>194</v>
      </c>
      <c r="C63" s="133">
        <v>3.4</v>
      </c>
      <c r="D63" s="133">
        <v>4.0999999999999996</v>
      </c>
      <c r="E63" s="133">
        <v>5.3</v>
      </c>
      <c r="F63" s="133">
        <v>6.2</v>
      </c>
      <c r="G63" s="133">
        <v>7.6</v>
      </c>
      <c r="H63" s="133">
        <v>8.6999999999999993</v>
      </c>
      <c r="I63" s="133">
        <v>9.9</v>
      </c>
      <c r="J63" s="137">
        <v>325</v>
      </c>
    </row>
    <row r="64" spans="2:10" ht="13.5" thickBot="1" x14ac:dyDescent="0.25">
      <c r="B64" s="127" t="s">
        <v>193</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12" t="s">
        <v>233</v>
      </c>
      <c r="D3" s="212"/>
      <c r="E3" s="212"/>
      <c r="F3" s="212"/>
    </row>
    <row r="4" spans="1:6" x14ac:dyDescent="0.2">
      <c r="C4" s="37" t="s">
        <v>229</v>
      </c>
      <c r="D4" s="37" t="s">
        <v>230</v>
      </c>
      <c r="E4" s="37" t="s">
        <v>231</v>
      </c>
      <c r="F4" s="37" t="s">
        <v>232</v>
      </c>
    </row>
    <row r="5" spans="1:6" x14ac:dyDescent="0.2">
      <c r="A5" s="144" t="s">
        <v>234</v>
      </c>
      <c r="B5" t="s">
        <v>6</v>
      </c>
    </row>
    <row r="6" spans="1:6" x14ac:dyDescent="0.2">
      <c r="A6" t="s">
        <v>235</v>
      </c>
      <c r="B6" t="s">
        <v>268</v>
      </c>
      <c r="C6" s="37">
        <v>68</v>
      </c>
      <c r="D6" s="37">
        <v>79</v>
      </c>
      <c r="E6" s="37">
        <v>86</v>
      </c>
      <c r="F6" s="37">
        <v>89</v>
      </c>
    </row>
    <row r="7" spans="1:6" x14ac:dyDescent="0.2">
      <c r="A7" t="s">
        <v>236</v>
      </c>
      <c r="B7" t="s">
        <v>238</v>
      </c>
      <c r="C7" s="37">
        <v>49</v>
      </c>
      <c r="D7" s="37">
        <v>69</v>
      </c>
      <c r="E7" s="37">
        <v>79</v>
      </c>
      <c r="F7" s="37">
        <v>84</v>
      </c>
    </row>
    <row r="8" spans="1:6" x14ac:dyDescent="0.2">
      <c r="A8" t="s">
        <v>237</v>
      </c>
      <c r="B8" t="s">
        <v>239</v>
      </c>
      <c r="C8" s="37">
        <v>39</v>
      </c>
      <c r="D8" s="37">
        <v>61</v>
      </c>
      <c r="E8" s="37">
        <v>74</v>
      </c>
      <c r="F8" s="37">
        <v>80</v>
      </c>
    </row>
    <row r="9" spans="1:6" x14ac:dyDescent="0.2">
      <c r="A9" s="144" t="s">
        <v>240</v>
      </c>
    </row>
    <row r="10" spans="1:6" x14ac:dyDescent="0.2">
      <c r="A10" t="s">
        <v>269</v>
      </c>
      <c r="B10" s="3" t="s">
        <v>369</v>
      </c>
      <c r="C10" s="37">
        <v>98</v>
      </c>
      <c r="D10" s="37">
        <v>98</v>
      </c>
      <c r="E10" s="37">
        <v>98</v>
      </c>
      <c r="F10" s="37">
        <v>98</v>
      </c>
    </row>
    <row r="11" spans="1:6" x14ac:dyDescent="0.2">
      <c r="A11" t="s">
        <v>241</v>
      </c>
      <c r="B11" s="3" t="s">
        <v>370</v>
      </c>
      <c r="C11" s="37">
        <v>83</v>
      </c>
      <c r="D11" s="37">
        <v>89</v>
      </c>
      <c r="E11" s="37">
        <v>92</v>
      </c>
      <c r="F11" s="37">
        <v>93</v>
      </c>
    </row>
    <row r="12" spans="1:6" x14ac:dyDescent="0.2">
      <c r="A12" t="s">
        <v>242</v>
      </c>
      <c r="B12" s="3" t="s">
        <v>371</v>
      </c>
      <c r="C12" s="37">
        <v>76</v>
      </c>
      <c r="D12" s="37">
        <v>85</v>
      </c>
      <c r="E12" s="37">
        <v>89</v>
      </c>
      <c r="F12" s="37">
        <v>91</v>
      </c>
    </row>
    <row r="13" spans="1:6" x14ac:dyDescent="0.2">
      <c r="A13" t="s">
        <v>243</v>
      </c>
      <c r="B13" s="3" t="s">
        <v>371</v>
      </c>
      <c r="C13" s="37">
        <v>72</v>
      </c>
      <c r="D13" s="37">
        <v>82</v>
      </c>
      <c r="E13" s="37">
        <v>87</v>
      </c>
      <c r="F13" s="37">
        <v>89</v>
      </c>
    </row>
    <row r="14" spans="1:6" x14ac:dyDescent="0.2">
      <c r="A14" s="144" t="s">
        <v>244</v>
      </c>
    </row>
    <row r="15" spans="1:6" x14ac:dyDescent="0.2">
      <c r="A15" t="s">
        <v>245</v>
      </c>
      <c r="B15" t="s">
        <v>270</v>
      </c>
      <c r="C15" s="37">
        <v>63</v>
      </c>
      <c r="D15" s="37">
        <v>77</v>
      </c>
      <c r="E15" s="37">
        <v>85</v>
      </c>
      <c r="F15" s="37">
        <v>88</v>
      </c>
    </row>
    <row r="16" spans="1:6" ht="12.75" customHeight="1" x14ac:dyDescent="0.2">
      <c r="A16" t="s">
        <v>246</v>
      </c>
      <c r="B16" s="143" t="s">
        <v>271</v>
      </c>
      <c r="C16" s="37">
        <v>96</v>
      </c>
      <c r="D16" s="37">
        <v>96</v>
      </c>
      <c r="E16" s="37">
        <v>96</v>
      </c>
      <c r="F16" s="37">
        <v>96</v>
      </c>
    </row>
    <row r="17" spans="1:6" x14ac:dyDescent="0.2">
      <c r="A17" s="144" t="s">
        <v>247</v>
      </c>
    </row>
    <row r="18" spans="1:6" x14ac:dyDescent="0.2">
      <c r="A18" t="s">
        <v>248</v>
      </c>
      <c r="B18" t="s">
        <v>249</v>
      </c>
      <c r="C18" s="37">
        <v>89</v>
      </c>
      <c r="D18" s="37">
        <v>92</v>
      </c>
      <c r="E18" s="37">
        <v>94</v>
      </c>
      <c r="F18" s="37">
        <v>95</v>
      </c>
    </row>
    <row r="19" spans="1:6" x14ac:dyDescent="0.2">
      <c r="A19" t="s">
        <v>250</v>
      </c>
      <c r="B19" t="s">
        <v>251</v>
      </c>
      <c r="C19" s="37">
        <v>81</v>
      </c>
      <c r="D19" s="37">
        <v>88</v>
      </c>
      <c r="E19" s="37">
        <v>91</v>
      </c>
      <c r="F19" s="37">
        <v>93</v>
      </c>
    </row>
    <row r="20" spans="1:6" x14ac:dyDescent="0.2">
      <c r="A20" s="144" t="s">
        <v>252</v>
      </c>
    </row>
    <row r="21" spans="1:6" x14ac:dyDescent="0.2">
      <c r="A21" t="s">
        <v>253</v>
      </c>
      <c r="B21" t="s">
        <v>254</v>
      </c>
      <c r="C21" s="37">
        <v>77</v>
      </c>
      <c r="D21" s="37">
        <v>85</v>
      </c>
      <c r="E21" s="37">
        <v>90</v>
      </c>
      <c r="F21" s="37">
        <v>92</v>
      </c>
    </row>
    <row r="22" spans="1:6" x14ac:dyDescent="0.2">
      <c r="A22" t="s">
        <v>255</v>
      </c>
      <c r="B22" t="s">
        <v>256</v>
      </c>
      <c r="C22" s="37">
        <v>61</v>
      </c>
      <c r="D22" s="37">
        <v>75</v>
      </c>
      <c r="E22" s="37">
        <v>83</v>
      </c>
      <c r="F22" s="37">
        <v>87</v>
      </c>
    </row>
    <row r="23" spans="1:6" x14ac:dyDescent="0.2">
      <c r="A23" t="s">
        <v>257</v>
      </c>
      <c r="B23" t="s">
        <v>258</v>
      </c>
      <c r="C23" s="37">
        <v>57</v>
      </c>
      <c r="D23" s="37">
        <v>72</v>
      </c>
      <c r="E23" s="37">
        <v>81</v>
      </c>
      <c r="F23" s="37">
        <v>86</v>
      </c>
    </row>
    <row r="24" spans="1:6" x14ac:dyDescent="0.2">
      <c r="A24" t="s">
        <v>259</v>
      </c>
      <c r="B24" t="s">
        <v>260</v>
      </c>
      <c r="C24" s="37">
        <v>54</v>
      </c>
      <c r="D24" s="37">
        <v>70</v>
      </c>
      <c r="E24" s="37">
        <v>80</v>
      </c>
      <c r="F24" s="37">
        <v>85</v>
      </c>
    </row>
    <row r="25" spans="1:6" x14ac:dyDescent="0.2">
      <c r="A25" t="s">
        <v>261</v>
      </c>
      <c r="B25" t="s">
        <v>262</v>
      </c>
      <c r="C25" s="37">
        <v>51</v>
      </c>
      <c r="D25" s="37">
        <v>68</v>
      </c>
      <c r="E25" s="37">
        <v>79</v>
      </c>
      <c r="F25" s="37">
        <v>84</v>
      </c>
    </row>
    <row r="26" spans="1:6" x14ac:dyDescent="0.2">
      <c r="A26" t="s">
        <v>263</v>
      </c>
      <c r="B26" t="s">
        <v>264</v>
      </c>
      <c r="C26" s="37">
        <v>46</v>
      </c>
      <c r="D26" s="37">
        <v>65</v>
      </c>
      <c r="E26" s="37">
        <v>77</v>
      </c>
      <c r="F26" s="37">
        <v>82</v>
      </c>
    </row>
    <row r="27" spans="1:6" x14ac:dyDescent="0.2">
      <c r="A27" s="144" t="s">
        <v>265</v>
      </c>
    </row>
    <row r="28" spans="1:6" x14ac:dyDescent="0.2">
      <c r="A28" t="s">
        <v>266</v>
      </c>
      <c r="B28" t="s">
        <v>267</v>
      </c>
      <c r="C28" s="37">
        <v>77</v>
      </c>
      <c r="D28" s="37">
        <v>86</v>
      </c>
      <c r="E28" s="37">
        <v>91</v>
      </c>
      <c r="F28" s="37">
        <v>94</v>
      </c>
    </row>
    <row r="29" spans="1:6" x14ac:dyDescent="0.2">
      <c r="A29" s="144" t="s">
        <v>306</v>
      </c>
    </row>
    <row r="30" spans="1:6" x14ac:dyDescent="0.2">
      <c r="A30" s="3" t="s">
        <v>317</v>
      </c>
      <c r="B30" s="3" t="s">
        <v>307</v>
      </c>
      <c r="C30" s="37">
        <v>68</v>
      </c>
      <c r="D30" s="4">
        <v>79</v>
      </c>
      <c r="E30" s="37">
        <v>86</v>
      </c>
      <c r="F30" s="37">
        <v>89</v>
      </c>
    </row>
    <row r="31" spans="1:6" x14ac:dyDescent="0.2">
      <c r="A31" s="3" t="s">
        <v>316</v>
      </c>
      <c r="B31" s="3" t="s">
        <v>308</v>
      </c>
      <c r="C31" s="37">
        <v>49</v>
      </c>
      <c r="D31" s="37">
        <v>69</v>
      </c>
      <c r="E31" s="37">
        <v>79</v>
      </c>
      <c r="F31" s="37">
        <v>84</v>
      </c>
    </row>
    <row r="32" spans="1:6" x14ac:dyDescent="0.2">
      <c r="A32" s="3" t="s">
        <v>315</v>
      </c>
      <c r="B32" s="3" t="s">
        <v>309</v>
      </c>
      <c r="C32" s="37">
        <v>39</v>
      </c>
      <c r="D32" s="37">
        <v>61</v>
      </c>
      <c r="E32" s="37">
        <v>74</v>
      </c>
      <c r="F32" s="37">
        <v>80</v>
      </c>
    </row>
    <row r="33" spans="1:9" x14ac:dyDescent="0.2">
      <c r="A33" s="3" t="s">
        <v>310</v>
      </c>
      <c r="B33" s="3" t="s">
        <v>311</v>
      </c>
      <c r="C33" s="37">
        <v>30</v>
      </c>
      <c r="D33" s="37">
        <v>58</v>
      </c>
      <c r="E33" s="37">
        <v>71</v>
      </c>
      <c r="F33" s="37">
        <v>78</v>
      </c>
    </row>
    <row r="34" spans="1:9" x14ac:dyDescent="0.2">
      <c r="A34" s="3" t="s">
        <v>312</v>
      </c>
      <c r="B34" s="3" t="s">
        <v>321</v>
      </c>
      <c r="C34" s="37">
        <v>48</v>
      </c>
      <c r="D34" s="37">
        <v>67</v>
      </c>
      <c r="E34" s="37">
        <v>77</v>
      </c>
      <c r="F34" s="37">
        <v>83</v>
      </c>
    </row>
    <row r="35" spans="1:9" x14ac:dyDescent="0.2">
      <c r="A35" s="3" t="s">
        <v>313</v>
      </c>
      <c r="B35" s="3" t="s">
        <v>322</v>
      </c>
      <c r="C35" s="37">
        <v>35</v>
      </c>
      <c r="D35" s="37">
        <v>56</v>
      </c>
      <c r="E35" s="37">
        <v>70</v>
      </c>
      <c r="F35" s="37">
        <v>77</v>
      </c>
    </row>
    <row r="36" spans="1:9" x14ac:dyDescent="0.2">
      <c r="A36" s="3" t="s">
        <v>314</v>
      </c>
      <c r="B36" s="3" t="s">
        <v>323</v>
      </c>
      <c r="C36" s="37">
        <v>30</v>
      </c>
      <c r="D36" s="37">
        <v>48</v>
      </c>
      <c r="E36" s="37">
        <v>65</v>
      </c>
      <c r="F36" s="37">
        <v>73</v>
      </c>
    </row>
    <row r="37" spans="1:9" x14ac:dyDescent="0.2">
      <c r="A37" s="3" t="s">
        <v>324</v>
      </c>
      <c r="B37" s="3" t="s">
        <v>327</v>
      </c>
      <c r="C37" s="37">
        <v>57</v>
      </c>
      <c r="D37" s="37">
        <v>73</v>
      </c>
      <c r="E37" s="37">
        <v>82</v>
      </c>
      <c r="F37" s="37">
        <v>86</v>
      </c>
    </row>
    <row r="38" spans="1:9" x14ac:dyDescent="0.2">
      <c r="A38" s="3" t="s">
        <v>325</v>
      </c>
      <c r="B38" s="3" t="s">
        <v>327</v>
      </c>
      <c r="C38" s="37">
        <v>43</v>
      </c>
      <c r="D38" s="37">
        <v>65</v>
      </c>
      <c r="E38" s="37">
        <v>76</v>
      </c>
      <c r="F38" s="37">
        <v>82</v>
      </c>
    </row>
    <row r="39" spans="1:9" x14ac:dyDescent="0.2">
      <c r="A39" s="3" t="s">
        <v>326</v>
      </c>
      <c r="B39" s="3" t="s">
        <v>327</v>
      </c>
      <c r="C39" s="37">
        <v>32</v>
      </c>
      <c r="D39" s="37">
        <v>58</v>
      </c>
      <c r="E39" s="37">
        <v>72</v>
      </c>
      <c r="F39" s="37">
        <v>79</v>
      </c>
    </row>
    <row r="40" spans="1:9" x14ac:dyDescent="0.2">
      <c r="A40" s="3" t="s">
        <v>318</v>
      </c>
      <c r="B40" s="3" t="s">
        <v>330</v>
      </c>
      <c r="C40" s="37">
        <v>45</v>
      </c>
      <c r="D40" s="37">
        <v>66</v>
      </c>
      <c r="E40" s="37">
        <v>77</v>
      </c>
      <c r="F40" s="37">
        <v>83</v>
      </c>
    </row>
    <row r="41" spans="1:9" x14ac:dyDescent="0.2">
      <c r="A41" s="3" t="s">
        <v>319</v>
      </c>
      <c r="B41" s="3" t="s">
        <v>328</v>
      </c>
      <c r="C41" s="37">
        <v>36</v>
      </c>
      <c r="D41" s="37">
        <v>60</v>
      </c>
      <c r="E41" s="37">
        <v>73</v>
      </c>
      <c r="F41" s="37">
        <v>79</v>
      </c>
    </row>
    <row r="42" spans="1:9" x14ac:dyDescent="0.2">
      <c r="A42" s="3" t="s">
        <v>320</v>
      </c>
      <c r="B42" s="3" t="s">
        <v>329</v>
      </c>
      <c r="C42" s="37">
        <v>30</v>
      </c>
      <c r="D42" s="37">
        <v>55</v>
      </c>
      <c r="E42" s="37">
        <v>70</v>
      </c>
      <c r="F42" s="37">
        <v>77</v>
      </c>
    </row>
    <row r="43" spans="1:9" x14ac:dyDescent="0.2">
      <c r="A43" s="3" t="s">
        <v>331</v>
      </c>
      <c r="B43" s="3" t="s">
        <v>332</v>
      </c>
      <c r="C43" s="37">
        <v>59</v>
      </c>
      <c r="D43" s="37">
        <v>74</v>
      </c>
      <c r="E43" s="37">
        <v>82</v>
      </c>
      <c r="F43" s="37">
        <v>86</v>
      </c>
    </row>
    <row r="44" spans="1:9" x14ac:dyDescent="0.2">
      <c r="A44" s="144" t="s">
        <v>272</v>
      </c>
    </row>
    <row r="45" spans="1:9" x14ac:dyDescent="0.2">
      <c r="A45" t="s">
        <v>273</v>
      </c>
      <c r="B45" s="3" t="s">
        <v>372</v>
      </c>
      <c r="C45" s="37">
        <v>77</v>
      </c>
      <c r="D45" s="37">
        <v>86</v>
      </c>
      <c r="E45" s="37">
        <v>91</v>
      </c>
      <c r="F45" s="37">
        <v>94</v>
      </c>
    </row>
    <row r="46" spans="1:9" x14ac:dyDescent="0.2">
      <c r="A46" s="3" t="s">
        <v>295</v>
      </c>
      <c r="B46" s="3" t="s">
        <v>338</v>
      </c>
      <c r="C46" s="37">
        <v>76</v>
      </c>
      <c r="D46" s="37">
        <v>85</v>
      </c>
      <c r="E46" s="37">
        <v>90</v>
      </c>
      <c r="F46" s="37">
        <v>93</v>
      </c>
    </row>
    <row r="47" spans="1:9" x14ac:dyDescent="0.2">
      <c r="A47" s="3" t="s">
        <v>294</v>
      </c>
      <c r="B47" s="3" t="s">
        <v>337</v>
      </c>
      <c r="C47" s="37">
        <v>74</v>
      </c>
      <c r="D47" s="37">
        <v>83</v>
      </c>
      <c r="E47" s="37">
        <v>88</v>
      </c>
      <c r="F47" s="37">
        <v>90</v>
      </c>
    </row>
    <row r="48" spans="1:9" x14ac:dyDescent="0.2">
      <c r="A48" s="3" t="s">
        <v>293</v>
      </c>
      <c r="B48" s="3" t="s">
        <v>338</v>
      </c>
      <c r="C48" s="37">
        <v>72</v>
      </c>
      <c r="D48" s="37">
        <v>81</v>
      </c>
      <c r="E48" s="37">
        <v>88</v>
      </c>
      <c r="F48" s="4">
        <v>91</v>
      </c>
      <c r="G48" s="37"/>
      <c r="H48" s="37"/>
      <c r="I48" s="37"/>
    </row>
    <row r="49" spans="1:6" x14ac:dyDescent="0.2">
      <c r="A49" s="3" t="s">
        <v>292</v>
      </c>
      <c r="B49" s="3" t="s">
        <v>337</v>
      </c>
      <c r="C49" s="37">
        <v>67</v>
      </c>
      <c r="D49" s="37">
        <v>78</v>
      </c>
      <c r="E49" s="37">
        <v>85</v>
      </c>
      <c r="F49" s="4">
        <v>89</v>
      </c>
    </row>
    <row r="50" spans="1:6" x14ac:dyDescent="0.2">
      <c r="A50" s="3" t="s">
        <v>274</v>
      </c>
      <c r="B50" s="3" t="s">
        <v>338</v>
      </c>
      <c r="C50" s="37">
        <v>71</v>
      </c>
      <c r="D50" s="37">
        <v>80</v>
      </c>
      <c r="E50" s="37">
        <v>87</v>
      </c>
      <c r="F50" s="4">
        <v>90</v>
      </c>
    </row>
    <row r="51" spans="1:6" x14ac:dyDescent="0.2">
      <c r="A51" s="3" t="s">
        <v>275</v>
      </c>
      <c r="B51" s="3" t="s">
        <v>337</v>
      </c>
      <c r="C51" s="37">
        <v>64</v>
      </c>
      <c r="D51" s="37">
        <v>75</v>
      </c>
      <c r="E51" s="37">
        <v>82</v>
      </c>
      <c r="F51" s="4">
        <v>85</v>
      </c>
    </row>
    <row r="52" spans="1:6" x14ac:dyDescent="0.2">
      <c r="A52" s="3" t="s">
        <v>296</v>
      </c>
      <c r="B52" s="3" t="s">
        <v>338</v>
      </c>
      <c r="C52" s="37">
        <v>70</v>
      </c>
      <c r="D52" s="37">
        <v>79</v>
      </c>
      <c r="E52" s="37">
        <v>84</v>
      </c>
      <c r="F52" s="4">
        <v>88</v>
      </c>
    </row>
    <row r="53" spans="1:6" x14ac:dyDescent="0.2">
      <c r="A53" s="3" t="s">
        <v>297</v>
      </c>
      <c r="B53" s="3" t="s">
        <v>337</v>
      </c>
      <c r="C53" s="37">
        <v>65</v>
      </c>
      <c r="D53" s="37">
        <v>75</v>
      </c>
      <c r="E53" s="37">
        <v>82</v>
      </c>
      <c r="F53" s="4">
        <v>86</v>
      </c>
    </row>
    <row r="54" spans="1:6" x14ac:dyDescent="0.2">
      <c r="A54" s="3" t="s">
        <v>291</v>
      </c>
      <c r="B54" s="3" t="s">
        <v>338</v>
      </c>
      <c r="C54" s="37">
        <v>69</v>
      </c>
      <c r="D54" s="37">
        <v>78</v>
      </c>
      <c r="E54" s="37">
        <v>83</v>
      </c>
      <c r="F54" s="4">
        <v>87</v>
      </c>
    </row>
    <row r="55" spans="1:6" x14ac:dyDescent="0.2">
      <c r="A55" s="3" t="s">
        <v>290</v>
      </c>
      <c r="B55" s="3" t="s">
        <v>337</v>
      </c>
      <c r="C55" s="37">
        <v>64</v>
      </c>
      <c r="D55" s="37">
        <v>74</v>
      </c>
      <c r="E55" s="37">
        <v>81</v>
      </c>
      <c r="F55" s="4">
        <v>85</v>
      </c>
    </row>
    <row r="56" spans="1:6" x14ac:dyDescent="0.2">
      <c r="A56" s="3" t="s">
        <v>289</v>
      </c>
      <c r="B56" s="3" t="s">
        <v>338</v>
      </c>
      <c r="C56" s="37">
        <v>66</v>
      </c>
      <c r="D56" s="37">
        <v>74</v>
      </c>
      <c r="E56" s="37">
        <v>80</v>
      </c>
      <c r="F56" s="4">
        <v>82</v>
      </c>
    </row>
    <row r="57" spans="1:6" x14ac:dyDescent="0.2">
      <c r="A57" s="3" t="s">
        <v>288</v>
      </c>
      <c r="B57" s="3" t="s">
        <v>337</v>
      </c>
      <c r="C57" s="37">
        <v>62</v>
      </c>
      <c r="D57" s="37">
        <v>71</v>
      </c>
      <c r="E57" s="37">
        <v>78</v>
      </c>
      <c r="F57" s="4">
        <v>81</v>
      </c>
    </row>
    <row r="58" spans="1:6" x14ac:dyDescent="0.2">
      <c r="A58" s="3" t="s">
        <v>287</v>
      </c>
      <c r="B58" s="3" t="s">
        <v>338</v>
      </c>
      <c r="C58" s="37">
        <v>65</v>
      </c>
      <c r="D58" s="37">
        <v>73</v>
      </c>
      <c r="E58" s="37">
        <v>79</v>
      </c>
      <c r="F58" s="4">
        <v>81</v>
      </c>
    </row>
    <row r="59" spans="1:6" x14ac:dyDescent="0.2">
      <c r="A59" s="3" t="s">
        <v>286</v>
      </c>
      <c r="B59" s="3" t="s">
        <v>337</v>
      </c>
      <c r="C59" s="37">
        <v>61</v>
      </c>
      <c r="D59" s="37">
        <v>70</v>
      </c>
      <c r="E59" s="37">
        <v>77</v>
      </c>
      <c r="F59" s="4">
        <v>80</v>
      </c>
    </row>
    <row r="60" spans="1:6" x14ac:dyDescent="0.2">
      <c r="A60" s="3" t="s">
        <v>285</v>
      </c>
      <c r="B60" s="3" t="s">
        <v>338</v>
      </c>
      <c r="C60" s="37">
        <v>65</v>
      </c>
      <c r="D60" s="37">
        <v>76</v>
      </c>
      <c r="E60" s="37">
        <v>84</v>
      </c>
      <c r="F60" s="4">
        <v>88</v>
      </c>
    </row>
    <row r="61" spans="1:6" x14ac:dyDescent="0.2">
      <c r="A61" s="3" t="s">
        <v>284</v>
      </c>
      <c r="B61" s="3" t="s">
        <v>337</v>
      </c>
      <c r="C61" s="37">
        <v>63</v>
      </c>
      <c r="D61" s="37">
        <v>75</v>
      </c>
      <c r="E61" s="37">
        <v>83</v>
      </c>
      <c r="F61" s="4">
        <v>87</v>
      </c>
    </row>
    <row r="62" spans="1:6" x14ac:dyDescent="0.2">
      <c r="A62" s="3" t="s">
        <v>283</v>
      </c>
      <c r="B62" s="3" t="s">
        <v>338</v>
      </c>
      <c r="C62" s="37">
        <v>64</v>
      </c>
      <c r="D62" s="37">
        <v>75</v>
      </c>
      <c r="E62" s="37">
        <v>83</v>
      </c>
      <c r="F62" s="4">
        <v>86</v>
      </c>
    </row>
    <row r="63" spans="1:6" x14ac:dyDescent="0.2">
      <c r="A63" s="3" t="s">
        <v>282</v>
      </c>
      <c r="B63" s="3" t="s">
        <v>337</v>
      </c>
      <c r="C63" s="37">
        <v>60</v>
      </c>
      <c r="D63" s="37">
        <v>72</v>
      </c>
      <c r="E63" s="37">
        <v>80</v>
      </c>
      <c r="F63" s="4">
        <v>84</v>
      </c>
    </row>
    <row r="64" spans="1:6" x14ac:dyDescent="0.2">
      <c r="A64" s="3" t="s">
        <v>281</v>
      </c>
      <c r="B64" s="3" t="s">
        <v>338</v>
      </c>
      <c r="C64" s="37">
        <v>63</v>
      </c>
      <c r="D64" s="37">
        <v>74</v>
      </c>
      <c r="E64" s="37">
        <v>82</v>
      </c>
      <c r="F64" s="4">
        <v>85</v>
      </c>
    </row>
    <row r="65" spans="1:6" x14ac:dyDescent="0.2">
      <c r="A65" s="3" t="s">
        <v>280</v>
      </c>
      <c r="B65" s="3" t="s">
        <v>337</v>
      </c>
      <c r="C65" s="37">
        <v>61</v>
      </c>
      <c r="D65" s="37">
        <v>73</v>
      </c>
      <c r="E65" s="37">
        <v>81</v>
      </c>
      <c r="F65" s="4">
        <v>84</v>
      </c>
    </row>
    <row r="66" spans="1:6" x14ac:dyDescent="0.2">
      <c r="A66" s="3" t="s">
        <v>276</v>
      </c>
      <c r="B66" s="3" t="s">
        <v>338</v>
      </c>
      <c r="C66" s="37">
        <v>62</v>
      </c>
      <c r="D66" s="37">
        <v>73</v>
      </c>
      <c r="E66" s="37">
        <v>81</v>
      </c>
      <c r="F66" s="4">
        <v>84</v>
      </c>
    </row>
    <row r="67" spans="1:6" x14ac:dyDescent="0.2">
      <c r="A67" s="3" t="s">
        <v>277</v>
      </c>
      <c r="B67" s="3" t="s">
        <v>337</v>
      </c>
      <c r="C67" s="37">
        <v>60</v>
      </c>
      <c r="D67" s="37">
        <v>72</v>
      </c>
      <c r="E67" s="37">
        <v>80</v>
      </c>
      <c r="F67" s="4">
        <v>83</v>
      </c>
    </row>
    <row r="68" spans="1:6" x14ac:dyDescent="0.2">
      <c r="A68" s="3" t="s">
        <v>278</v>
      </c>
      <c r="B68" s="3" t="s">
        <v>338</v>
      </c>
      <c r="C68" s="37">
        <v>61</v>
      </c>
      <c r="D68" s="37">
        <v>72</v>
      </c>
      <c r="E68" s="37">
        <v>79</v>
      </c>
      <c r="F68" s="4">
        <v>82</v>
      </c>
    </row>
    <row r="69" spans="1:6" x14ac:dyDescent="0.2">
      <c r="A69" s="3" t="s">
        <v>279</v>
      </c>
      <c r="B69" s="3" t="s">
        <v>337</v>
      </c>
      <c r="C69" s="37">
        <v>59</v>
      </c>
      <c r="D69" s="37">
        <v>70</v>
      </c>
      <c r="E69" s="37">
        <v>78</v>
      </c>
      <c r="F69" s="4">
        <v>81</v>
      </c>
    </row>
    <row r="70" spans="1:6" x14ac:dyDescent="0.2">
      <c r="A70" s="3" t="s">
        <v>298</v>
      </c>
      <c r="B70" s="3" t="s">
        <v>338</v>
      </c>
      <c r="C70" s="37">
        <v>60</v>
      </c>
      <c r="D70" s="37">
        <v>71</v>
      </c>
      <c r="E70" s="37">
        <v>78</v>
      </c>
      <c r="F70" s="4">
        <v>81</v>
      </c>
    </row>
    <row r="71" spans="1:6" x14ac:dyDescent="0.2">
      <c r="A71" s="3" t="s">
        <v>299</v>
      </c>
      <c r="B71" s="3" t="s">
        <v>337</v>
      </c>
      <c r="C71" s="37">
        <v>58</v>
      </c>
      <c r="D71" s="37">
        <v>69</v>
      </c>
      <c r="E71" s="37">
        <v>77</v>
      </c>
      <c r="F71" s="4">
        <v>80</v>
      </c>
    </row>
    <row r="72" spans="1:6" x14ac:dyDescent="0.2">
      <c r="A72" s="3" t="s">
        <v>300</v>
      </c>
      <c r="B72" s="3" t="s">
        <v>338</v>
      </c>
      <c r="C72" s="37">
        <v>66</v>
      </c>
      <c r="D72" s="37">
        <v>77</v>
      </c>
      <c r="E72" s="37">
        <v>85</v>
      </c>
      <c r="F72" s="4">
        <v>89</v>
      </c>
    </row>
    <row r="73" spans="1:6" x14ac:dyDescent="0.2">
      <c r="A73" s="3" t="s">
        <v>301</v>
      </c>
      <c r="B73" s="3" t="s">
        <v>337</v>
      </c>
      <c r="C73" s="37">
        <v>58</v>
      </c>
      <c r="D73" s="37">
        <v>72</v>
      </c>
      <c r="E73" s="37">
        <v>81</v>
      </c>
      <c r="F73" s="4">
        <v>85</v>
      </c>
    </row>
    <row r="74" spans="1:6" x14ac:dyDescent="0.2">
      <c r="A74" s="3" t="s">
        <v>302</v>
      </c>
      <c r="B74" s="3" t="s">
        <v>338</v>
      </c>
      <c r="C74" s="37">
        <v>64</v>
      </c>
      <c r="D74" s="37">
        <v>75</v>
      </c>
      <c r="E74" s="37">
        <v>83</v>
      </c>
      <c r="F74" s="4">
        <v>85</v>
      </c>
    </row>
    <row r="75" spans="1:6" x14ac:dyDescent="0.2">
      <c r="A75" s="3" t="s">
        <v>303</v>
      </c>
      <c r="B75" s="3" t="s">
        <v>337</v>
      </c>
      <c r="C75" s="37">
        <v>55</v>
      </c>
      <c r="D75" s="37">
        <v>69</v>
      </c>
      <c r="E75" s="37">
        <v>78</v>
      </c>
      <c r="F75" s="4">
        <v>83</v>
      </c>
    </row>
    <row r="76" spans="1:6" x14ac:dyDescent="0.2">
      <c r="A76" s="3" t="s">
        <v>304</v>
      </c>
      <c r="B76" s="3" t="s">
        <v>338</v>
      </c>
      <c r="C76" s="37">
        <v>63</v>
      </c>
      <c r="D76" s="37">
        <v>73</v>
      </c>
      <c r="E76" s="37">
        <v>80</v>
      </c>
      <c r="F76" s="4">
        <v>83</v>
      </c>
    </row>
    <row r="77" spans="1:6" x14ac:dyDescent="0.2">
      <c r="A77" s="3" t="s">
        <v>305</v>
      </c>
      <c r="B77" s="3" t="s">
        <v>337</v>
      </c>
      <c r="C77" s="37">
        <v>51</v>
      </c>
      <c r="D77" s="37">
        <v>67</v>
      </c>
      <c r="E77" s="37">
        <v>76</v>
      </c>
      <c r="F77" s="4">
        <v>80</v>
      </c>
    </row>
    <row r="78" spans="1:6" x14ac:dyDescent="0.2">
      <c r="A78" s="144" t="s">
        <v>333</v>
      </c>
    </row>
    <row r="79" spans="1:6" x14ac:dyDescent="0.2">
      <c r="A79" s="3" t="s">
        <v>334</v>
      </c>
      <c r="B79" s="3" t="s">
        <v>339</v>
      </c>
      <c r="C79" s="4" t="s">
        <v>366</v>
      </c>
      <c r="D79" s="37">
        <v>80</v>
      </c>
      <c r="E79" s="37">
        <v>87</v>
      </c>
      <c r="F79" s="37">
        <v>93</v>
      </c>
    </row>
    <row r="80" spans="1:6" x14ac:dyDescent="0.2">
      <c r="A80" s="3" t="s">
        <v>335</v>
      </c>
      <c r="B80" s="3" t="s">
        <v>340</v>
      </c>
      <c r="C80" s="4" t="s">
        <v>366</v>
      </c>
      <c r="D80" s="37">
        <v>71</v>
      </c>
      <c r="E80" s="37">
        <v>81</v>
      </c>
      <c r="F80" s="37">
        <v>89</v>
      </c>
    </row>
    <row r="81" spans="1:6" x14ac:dyDescent="0.2">
      <c r="A81" s="3" t="s">
        <v>336</v>
      </c>
      <c r="B81" s="3" t="s">
        <v>341</v>
      </c>
      <c r="C81" s="4" t="s">
        <v>366</v>
      </c>
      <c r="D81" s="37">
        <v>62</v>
      </c>
      <c r="E81" s="37">
        <v>74</v>
      </c>
      <c r="F81" s="37">
        <v>85</v>
      </c>
    </row>
    <row r="82" spans="1:6" x14ac:dyDescent="0.2">
      <c r="A82" s="3" t="s">
        <v>342</v>
      </c>
      <c r="B82" s="3" t="s">
        <v>345</v>
      </c>
      <c r="C82" s="4" t="s">
        <v>366</v>
      </c>
      <c r="D82" s="37">
        <v>66</v>
      </c>
      <c r="E82" s="37">
        <v>74</v>
      </c>
      <c r="F82" s="37">
        <v>79</v>
      </c>
    </row>
    <row r="83" spans="1:6" x14ac:dyDescent="0.2">
      <c r="A83" s="3" t="s">
        <v>343</v>
      </c>
      <c r="B83" s="3" t="s">
        <v>346</v>
      </c>
      <c r="C83" s="4" t="s">
        <v>366</v>
      </c>
      <c r="D83" s="37">
        <v>48</v>
      </c>
      <c r="E83" s="37">
        <v>57</v>
      </c>
      <c r="F83" s="37">
        <v>63</v>
      </c>
    </row>
    <row r="84" spans="1:6" x14ac:dyDescent="0.2">
      <c r="A84" s="3" t="s">
        <v>344</v>
      </c>
      <c r="B84" s="3" t="s">
        <v>347</v>
      </c>
      <c r="C84" s="4" t="s">
        <v>366</v>
      </c>
      <c r="D84" s="37">
        <v>30</v>
      </c>
      <c r="E84" s="37">
        <v>41</v>
      </c>
      <c r="F84" s="37">
        <v>48</v>
      </c>
    </row>
    <row r="85" spans="1:6" x14ac:dyDescent="0.2">
      <c r="A85" s="3" t="s">
        <v>348</v>
      </c>
      <c r="B85" s="3" t="s">
        <v>351</v>
      </c>
      <c r="C85" s="4" t="s">
        <v>366</v>
      </c>
      <c r="D85" s="37">
        <v>75</v>
      </c>
      <c r="E85" s="37">
        <v>85</v>
      </c>
      <c r="F85" s="37">
        <v>89</v>
      </c>
    </row>
    <row r="86" spans="1:6" x14ac:dyDescent="0.2">
      <c r="A86" s="3" t="s">
        <v>349</v>
      </c>
      <c r="B86" s="3" t="s">
        <v>352</v>
      </c>
      <c r="C86" s="4" t="s">
        <v>366</v>
      </c>
      <c r="D86" s="37">
        <v>58</v>
      </c>
      <c r="E86" s="37">
        <v>73</v>
      </c>
      <c r="F86" s="37">
        <v>80</v>
      </c>
    </row>
    <row r="87" spans="1:6" x14ac:dyDescent="0.2">
      <c r="A87" s="3" t="s">
        <v>350</v>
      </c>
      <c r="B87" s="3" t="s">
        <v>353</v>
      </c>
      <c r="C87" s="4" t="s">
        <v>366</v>
      </c>
      <c r="D87" s="37">
        <v>41</v>
      </c>
      <c r="E87" s="37">
        <v>61</v>
      </c>
      <c r="F87" s="37">
        <v>71</v>
      </c>
    </row>
    <row r="88" spans="1:6" x14ac:dyDescent="0.2">
      <c r="A88" s="3" t="s">
        <v>354</v>
      </c>
      <c r="B88" t="s">
        <v>357</v>
      </c>
      <c r="C88" s="4" t="s">
        <v>366</v>
      </c>
      <c r="D88" s="37">
        <v>67</v>
      </c>
      <c r="E88" s="37">
        <v>80</v>
      </c>
      <c r="F88" s="37">
        <v>85</v>
      </c>
    </row>
    <row r="89" spans="1:6" x14ac:dyDescent="0.2">
      <c r="A89" s="3" t="s">
        <v>355</v>
      </c>
      <c r="B89" s="3" t="s">
        <v>358</v>
      </c>
      <c r="C89" s="4" t="s">
        <v>366</v>
      </c>
      <c r="D89" s="37">
        <v>51</v>
      </c>
      <c r="E89" s="37">
        <v>63</v>
      </c>
      <c r="F89" s="37">
        <v>70</v>
      </c>
    </row>
    <row r="90" spans="1:6" x14ac:dyDescent="0.2">
      <c r="A90" s="3" t="s">
        <v>356</v>
      </c>
      <c r="B90" s="3" t="s">
        <v>359</v>
      </c>
      <c r="C90" s="4" t="s">
        <v>366</v>
      </c>
      <c r="D90" s="37">
        <v>35</v>
      </c>
      <c r="E90" s="37">
        <v>47</v>
      </c>
      <c r="F90" s="37">
        <v>55</v>
      </c>
    </row>
    <row r="91" spans="1:6" x14ac:dyDescent="0.2">
      <c r="A91" s="3" t="s">
        <v>360</v>
      </c>
      <c r="B91" s="3" t="s">
        <v>363</v>
      </c>
      <c r="C91" s="37">
        <v>63</v>
      </c>
      <c r="D91" s="37">
        <v>77</v>
      </c>
      <c r="E91" s="37">
        <v>85</v>
      </c>
      <c r="F91" s="37">
        <v>88</v>
      </c>
    </row>
    <row r="92" spans="1:6" x14ac:dyDescent="0.2">
      <c r="A92" s="3" t="s">
        <v>361</v>
      </c>
      <c r="B92" s="3" t="s">
        <v>364</v>
      </c>
      <c r="C92" s="37">
        <v>55</v>
      </c>
      <c r="D92" s="37">
        <v>72</v>
      </c>
      <c r="E92" s="37">
        <v>81</v>
      </c>
      <c r="F92" s="37">
        <v>86</v>
      </c>
    </row>
    <row r="93" spans="1:6" x14ac:dyDescent="0.2">
      <c r="A93" s="3" t="s">
        <v>362</v>
      </c>
      <c r="B93" s="3" t="s">
        <v>365</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3" t="s">
        <v>407</v>
      </c>
      <c r="D3" s="213"/>
      <c r="E3" s="213"/>
      <c r="F3" s="213"/>
      <c r="G3" s="145"/>
      <c r="H3" s="145"/>
      <c r="I3" s="145"/>
      <c r="J3" s="145"/>
      <c r="K3" s="145"/>
      <c r="L3" s="145"/>
    </row>
    <row r="4" spans="3:12" x14ac:dyDescent="0.2">
      <c r="C4" s="214" t="s">
        <v>374</v>
      </c>
      <c r="D4" s="215"/>
      <c r="E4" s="215"/>
      <c r="F4" s="216"/>
      <c r="G4" s="119"/>
      <c r="H4" s="119"/>
      <c r="I4" s="119"/>
      <c r="J4" s="119"/>
      <c r="K4" s="119"/>
      <c r="L4" s="119"/>
    </row>
    <row r="5" spans="3:12" x14ac:dyDescent="0.2">
      <c r="C5" s="217" t="s">
        <v>6</v>
      </c>
      <c r="D5" s="148" t="s">
        <v>375</v>
      </c>
      <c r="E5" s="148" t="s">
        <v>376</v>
      </c>
      <c r="F5" s="152" t="s">
        <v>377</v>
      </c>
    </row>
    <row r="6" spans="3:12" x14ac:dyDescent="0.2">
      <c r="C6" s="217"/>
      <c r="D6" s="148" t="s">
        <v>409</v>
      </c>
      <c r="E6" s="148" t="s">
        <v>410</v>
      </c>
      <c r="F6" s="152" t="s">
        <v>411</v>
      </c>
    </row>
    <row r="7" spans="3:12" ht="6.75" customHeight="1" x14ac:dyDescent="0.2">
      <c r="C7" s="153"/>
      <c r="D7" s="149"/>
      <c r="E7" s="149"/>
      <c r="F7" s="154"/>
    </row>
    <row r="8" spans="3:12" x14ac:dyDescent="0.2">
      <c r="C8" s="126" t="s">
        <v>378</v>
      </c>
      <c r="D8" s="150">
        <v>0.9</v>
      </c>
      <c r="E8" s="150">
        <v>0.9</v>
      </c>
      <c r="F8" s="155">
        <v>0.9</v>
      </c>
      <c r="I8" s="3" t="s">
        <v>412</v>
      </c>
    </row>
    <row r="9" spans="3:12" x14ac:dyDescent="0.2">
      <c r="C9" s="126" t="s">
        <v>379</v>
      </c>
      <c r="D9" s="150">
        <v>0.5</v>
      </c>
      <c r="E9" s="150">
        <v>0.5</v>
      </c>
      <c r="F9" s="155">
        <v>0.5</v>
      </c>
      <c r="I9" s="3" t="s">
        <v>413</v>
      </c>
    </row>
    <row r="10" spans="3:12" x14ac:dyDescent="0.2">
      <c r="C10" s="126" t="s">
        <v>380</v>
      </c>
      <c r="D10" s="150">
        <v>0.75</v>
      </c>
      <c r="E10" s="150">
        <v>0.8</v>
      </c>
      <c r="F10" s="155">
        <v>0.85</v>
      </c>
      <c r="I10" s="3" t="s">
        <v>414</v>
      </c>
    </row>
    <row r="11" spans="3:12" x14ac:dyDescent="0.2">
      <c r="C11" s="126" t="s">
        <v>381</v>
      </c>
      <c r="D11" s="150">
        <v>0.5</v>
      </c>
      <c r="E11" s="150">
        <v>0.55000000000000004</v>
      </c>
      <c r="F11" s="155">
        <v>0.6</v>
      </c>
    </row>
    <row r="12" spans="3:12" x14ac:dyDescent="0.2">
      <c r="C12" s="126" t="s">
        <v>382</v>
      </c>
      <c r="D12" s="150">
        <v>0.8</v>
      </c>
      <c r="E12" s="150">
        <v>0.85</v>
      </c>
      <c r="F12" s="155">
        <v>0.85</v>
      </c>
    </row>
    <row r="13" spans="3:12" x14ac:dyDescent="0.2">
      <c r="C13" s="126" t="s">
        <v>383</v>
      </c>
      <c r="D13" s="150">
        <v>0.34</v>
      </c>
      <c r="E13" s="150">
        <v>0.45</v>
      </c>
      <c r="F13" s="155">
        <v>0.59</v>
      </c>
    </row>
    <row r="14" spans="3:12" x14ac:dyDescent="0.2">
      <c r="C14" s="126" t="s">
        <v>384</v>
      </c>
      <c r="D14" s="150">
        <v>0.35</v>
      </c>
      <c r="E14" s="150">
        <v>0.47</v>
      </c>
      <c r="F14" s="155">
        <v>0.61</v>
      </c>
    </row>
    <row r="15" spans="3:12" x14ac:dyDescent="0.2">
      <c r="C15" s="126" t="s">
        <v>385</v>
      </c>
      <c r="D15" s="150">
        <v>0.4</v>
      </c>
      <c r="E15" s="150">
        <v>0.53</v>
      </c>
      <c r="F15" s="155">
        <v>0.69</v>
      </c>
    </row>
    <row r="16" spans="3:12" ht="6.75" customHeight="1" x14ac:dyDescent="0.2">
      <c r="C16" s="156"/>
      <c r="D16" s="151"/>
      <c r="E16" s="151"/>
      <c r="F16" s="157"/>
    </row>
    <row r="17" spans="3:6" x14ac:dyDescent="0.2">
      <c r="C17" s="126" t="s">
        <v>386</v>
      </c>
      <c r="D17" s="150">
        <v>0.5</v>
      </c>
      <c r="E17" s="150">
        <v>0.6</v>
      </c>
      <c r="F17" s="155">
        <v>0.7</v>
      </c>
    </row>
    <row r="18" spans="3:6" x14ac:dyDescent="0.2">
      <c r="C18" s="126" t="s">
        <v>387</v>
      </c>
      <c r="D18" s="150">
        <v>0.45</v>
      </c>
      <c r="E18" s="150">
        <v>0.5</v>
      </c>
      <c r="F18" s="155">
        <v>0.55000000000000004</v>
      </c>
    </row>
    <row r="19" spans="3:6" x14ac:dyDescent="0.2">
      <c r="C19" s="126" t="s">
        <v>388</v>
      </c>
      <c r="D19" s="150">
        <v>0.6</v>
      </c>
      <c r="E19" s="150">
        <v>0.65</v>
      </c>
      <c r="F19" s="155">
        <v>0.7</v>
      </c>
    </row>
    <row r="20" spans="3:6" x14ac:dyDescent="0.2">
      <c r="C20" s="126" t="s">
        <v>389</v>
      </c>
      <c r="D20" s="150">
        <v>0.1</v>
      </c>
      <c r="E20" s="150">
        <v>0.15</v>
      </c>
      <c r="F20" s="155">
        <v>0.2</v>
      </c>
    </row>
    <row r="21" spans="3:6" x14ac:dyDescent="0.2">
      <c r="C21" s="126" t="s">
        <v>390</v>
      </c>
      <c r="D21" s="150">
        <v>0.17</v>
      </c>
      <c r="E21" s="150">
        <v>0.22</v>
      </c>
      <c r="F21" s="155">
        <v>0.35</v>
      </c>
    </row>
    <row r="22" spans="3:6" ht="6.75" customHeight="1" x14ac:dyDescent="0.2">
      <c r="C22" s="156"/>
      <c r="D22" s="151"/>
      <c r="E22" s="151"/>
      <c r="F22" s="157"/>
    </row>
    <row r="23" spans="3:6" x14ac:dyDescent="0.2">
      <c r="C23" s="126" t="s">
        <v>391</v>
      </c>
      <c r="D23" s="150">
        <v>0.25</v>
      </c>
      <c r="E23" s="150">
        <v>0.25</v>
      </c>
      <c r="F23" s="155">
        <v>0.25</v>
      </c>
    </row>
    <row r="24" spans="3:6" x14ac:dyDescent="0.2">
      <c r="C24" s="126" t="s">
        <v>392</v>
      </c>
      <c r="D24" s="150">
        <v>0.6</v>
      </c>
      <c r="E24" s="150">
        <v>0.6</v>
      </c>
      <c r="F24" s="155">
        <v>0.6</v>
      </c>
    </row>
    <row r="25" spans="3:6" x14ac:dyDescent="0.2">
      <c r="C25" s="126" t="s">
        <v>393</v>
      </c>
      <c r="D25" s="150">
        <v>0.3</v>
      </c>
      <c r="E25" s="150">
        <v>0.3</v>
      </c>
      <c r="F25" s="155">
        <v>0.3</v>
      </c>
    </row>
    <row r="26" spans="3:6" x14ac:dyDescent="0.2">
      <c r="C26" s="126" t="s">
        <v>394</v>
      </c>
      <c r="D26" s="150">
        <v>0.25</v>
      </c>
      <c r="E26" s="150">
        <v>0.3</v>
      </c>
      <c r="F26" s="155">
        <v>0.3</v>
      </c>
    </row>
    <row r="27" spans="3:6" x14ac:dyDescent="0.2">
      <c r="C27" s="126" t="s">
        <v>395</v>
      </c>
      <c r="D27" s="150">
        <v>0.5</v>
      </c>
      <c r="E27" s="150">
        <v>0.55000000000000004</v>
      </c>
      <c r="F27" s="155">
        <v>0.6</v>
      </c>
    </row>
    <row r="28" spans="3:6" ht="6.75" customHeight="1" x14ac:dyDescent="0.2">
      <c r="C28" s="156"/>
      <c r="D28" s="151"/>
      <c r="E28" s="151"/>
      <c r="F28" s="157"/>
    </row>
    <row r="29" spans="3:6" x14ac:dyDescent="0.2">
      <c r="C29" s="126" t="s">
        <v>396</v>
      </c>
      <c r="D29" s="150">
        <v>0.25</v>
      </c>
      <c r="E29" s="150">
        <v>0.3</v>
      </c>
      <c r="F29" s="155">
        <v>0.35</v>
      </c>
    </row>
    <row r="30" spans="3:6" x14ac:dyDescent="0.2">
      <c r="C30" s="126" t="s">
        <v>397</v>
      </c>
      <c r="D30" s="150">
        <v>0.5</v>
      </c>
      <c r="E30" s="150">
        <v>0.7</v>
      </c>
      <c r="F30" s="155">
        <v>0.8</v>
      </c>
    </row>
    <row r="31" spans="3:6" x14ac:dyDescent="0.2">
      <c r="C31" s="126" t="s">
        <v>398</v>
      </c>
      <c r="D31" s="150">
        <v>0.6</v>
      </c>
      <c r="E31" s="150">
        <v>0.8</v>
      </c>
      <c r="F31" s="155">
        <v>0.9</v>
      </c>
    </row>
    <row r="32" spans="3:6" x14ac:dyDescent="0.2">
      <c r="C32" s="126" t="s">
        <v>399</v>
      </c>
      <c r="D32" s="150">
        <v>0.1</v>
      </c>
      <c r="E32" s="150">
        <v>0.15</v>
      </c>
      <c r="F32" s="155">
        <v>0.25</v>
      </c>
    </row>
    <row r="33" spans="3:6" x14ac:dyDescent="0.2">
      <c r="C33" s="126" t="s">
        <v>400</v>
      </c>
      <c r="D33" s="150">
        <v>0.2</v>
      </c>
      <c r="E33" s="150">
        <v>0.25</v>
      </c>
      <c r="F33" s="155">
        <v>0.3</v>
      </c>
    </row>
    <row r="34" spans="3:6" ht="6.75" customHeight="1" x14ac:dyDescent="0.2">
      <c r="C34" s="156"/>
      <c r="D34" s="151"/>
      <c r="E34" s="151"/>
      <c r="F34" s="157"/>
    </row>
    <row r="35" spans="3:6" x14ac:dyDescent="0.2">
      <c r="C35" s="126" t="s">
        <v>401</v>
      </c>
      <c r="D35" s="150">
        <v>0.1</v>
      </c>
      <c r="E35" s="150">
        <v>0.15</v>
      </c>
      <c r="F35" s="155">
        <v>0.2</v>
      </c>
    </row>
    <row r="36" spans="3:6" x14ac:dyDescent="0.2">
      <c r="C36" s="126" t="s">
        <v>402</v>
      </c>
      <c r="D36" s="150">
        <v>0.25</v>
      </c>
      <c r="E36" s="150">
        <v>0.3</v>
      </c>
      <c r="F36" s="155">
        <v>0.35</v>
      </c>
    </row>
    <row r="37" spans="3:6" x14ac:dyDescent="0.2">
      <c r="C37" s="126" t="s">
        <v>403</v>
      </c>
      <c r="D37" s="150">
        <v>0.1</v>
      </c>
      <c r="E37" s="150">
        <v>0.2</v>
      </c>
      <c r="F37" s="155">
        <v>0.3</v>
      </c>
    </row>
    <row r="38" spans="3:6" ht="6.75" customHeight="1" x14ac:dyDescent="0.2">
      <c r="C38" s="156"/>
      <c r="D38" s="151"/>
      <c r="E38" s="151"/>
      <c r="F38" s="157"/>
    </row>
    <row r="39" spans="3:6" x14ac:dyDescent="0.2">
      <c r="C39" s="126" t="s">
        <v>404</v>
      </c>
      <c r="D39" s="150">
        <v>0.25</v>
      </c>
      <c r="E39" s="150">
        <v>0.3</v>
      </c>
      <c r="F39" s="158" t="s">
        <v>366</v>
      </c>
    </row>
    <row r="40" spans="3:6" ht="13.5" thickBot="1" x14ac:dyDescent="0.25">
      <c r="C40" s="159" t="s">
        <v>405</v>
      </c>
      <c r="D40" s="160">
        <v>0.6</v>
      </c>
      <c r="E40" s="160">
        <v>0.7</v>
      </c>
      <c r="F40" s="161">
        <v>0.75</v>
      </c>
    </row>
    <row r="41" spans="3:6" ht="38.25" customHeight="1" thickBot="1" x14ac:dyDescent="0.25">
      <c r="C41" s="218" t="s">
        <v>406</v>
      </c>
      <c r="D41" s="219"/>
      <c r="E41" s="219"/>
      <c r="F41" s="220"/>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415</v>
      </c>
      <c r="D5" s="163">
        <v>1.0999999999999999E-2</v>
      </c>
    </row>
    <row r="6" spans="3:4" x14ac:dyDescent="0.2">
      <c r="C6" s="3" t="s">
        <v>416</v>
      </c>
      <c r="D6" s="163">
        <v>0.2</v>
      </c>
    </row>
    <row r="7" spans="3:4" x14ac:dyDescent="0.2">
      <c r="C7" s="3" t="s">
        <v>417</v>
      </c>
      <c r="D7" s="163">
        <v>0.4</v>
      </c>
    </row>
    <row r="8" spans="3:4" x14ac:dyDescent="0.2">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8"/>
  <sheetViews>
    <sheetView tabSelected="1" view="pageLayout" topLeftCell="A160" zoomScaleNormal="100" workbookViewId="0">
      <selection activeCell="AB171" sqref="AB171"/>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430</v>
      </c>
    </row>
    <row r="3" spans="1:35" ht="12.75" x14ac:dyDescent="0.2">
      <c r="A3" s="110" t="s">
        <v>432</v>
      </c>
      <c r="B3" s="77"/>
      <c r="C3" s="77"/>
      <c r="D3" s="77"/>
      <c r="E3" s="77"/>
      <c r="F3" s="77"/>
    </row>
    <row r="4" spans="1:35" ht="8.25" customHeight="1" x14ac:dyDescent="0.2"/>
    <row r="5" spans="1:35" ht="12" customHeight="1" x14ac:dyDescent="0.2">
      <c r="A5" s="78" t="s">
        <v>0</v>
      </c>
    </row>
    <row r="6" spans="1:35" ht="18.75" customHeight="1" x14ac:dyDescent="0.2">
      <c r="A6" s="197" t="s">
        <v>431</v>
      </c>
      <c r="B6" s="198"/>
      <c r="C6" s="198"/>
      <c r="D6" s="198"/>
      <c r="E6" s="198"/>
      <c r="F6" s="198"/>
      <c r="G6" s="198"/>
      <c r="H6" s="198"/>
      <c r="I6" s="168"/>
      <c r="J6" s="168"/>
    </row>
    <row r="7" spans="1:35" ht="72.75" customHeight="1" x14ac:dyDescent="0.2">
      <c r="A7" s="198"/>
      <c r="B7" s="198"/>
      <c r="C7" s="198"/>
      <c r="D7" s="198"/>
      <c r="E7" s="198"/>
      <c r="F7" s="198"/>
      <c r="G7" s="198"/>
      <c r="H7" s="198"/>
      <c r="I7" s="169"/>
      <c r="J7" s="169"/>
    </row>
    <row r="8" spans="1:35" x14ac:dyDescent="0.2">
      <c r="A8" s="77"/>
      <c r="B8" s="77"/>
      <c r="C8" s="77"/>
      <c r="D8" s="77"/>
      <c r="E8" s="77"/>
      <c r="F8" s="77"/>
      <c r="G8" s="77"/>
      <c r="H8" s="77"/>
      <c r="I8" s="77"/>
    </row>
    <row r="9" spans="1:35" x14ac:dyDescent="0.2">
      <c r="A9" s="77" t="s">
        <v>1</v>
      </c>
      <c r="B9" s="77"/>
      <c r="D9" s="111">
        <v>591.85</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367</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5" t="s">
        <v>6</v>
      </c>
      <c r="F14" s="195"/>
      <c r="G14" s="77"/>
      <c r="H14" s="77"/>
      <c r="I14" s="77"/>
      <c r="W14" s="192" t="s">
        <v>368</v>
      </c>
      <c r="X14" s="193"/>
      <c r="Y14" s="193"/>
      <c r="Z14" s="193"/>
      <c r="AA14" s="193"/>
      <c r="AB14" s="193"/>
      <c r="AC14" s="193"/>
      <c r="AD14" s="193"/>
      <c r="AE14" s="193"/>
      <c r="AF14" s="193"/>
      <c r="AG14" s="193"/>
      <c r="AH14" s="193"/>
      <c r="AI14" s="194"/>
    </row>
    <row r="15" spans="1:35" x14ac:dyDescent="0.2">
      <c r="A15" s="77"/>
      <c r="B15" s="176">
        <v>39.89</v>
      </c>
      <c r="C15" s="142" t="s">
        <v>231</v>
      </c>
      <c r="D15" s="79">
        <f>IF(ISBLANK(E15),0,IF(C15='Curve Numbers'!$C$4,VLOOKUP(E15,'Curve Numbers'!$A$5:$F$93,3,FALSE),IF(C15='Curve Numbers'!$D$4,VLOOKUP(E15,'Curve Numbers'!$A$5:$F$93,4,FALSE),IF(C15='Curve Numbers'!$E$4,VLOOKUP(E15,'Curve Numbers'!$A$5:$F$93,5,FALSE),IF(C15='Curve Numbers'!$F$4,VLOOKUP(E15,'Curve Numbers'!$A$5:$F$93,6,FALSE),"UPDATE")))))</f>
        <v>92</v>
      </c>
      <c r="E15" s="188" t="s">
        <v>241</v>
      </c>
      <c r="F15" s="188"/>
      <c r="G15" s="188"/>
      <c r="H15" s="77"/>
      <c r="I15" s="77"/>
      <c r="W15" s="189" t="str">
        <f>IF(ISBLANK(E15),"",VLOOKUP(E15,'Curve Numbers'!$A$5:$F$93,2,FALSE))</f>
        <v xml:space="preserve">Impervious Area  </v>
      </c>
      <c r="X15" s="190"/>
      <c r="Y15" s="190"/>
      <c r="Z15" s="190"/>
      <c r="AA15" s="190"/>
      <c r="AB15" s="190"/>
      <c r="AC15" s="190"/>
      <c r="AD15" s="190"/>
      <c r="AE15" s="190"/>
      <c r="AF15" s="190"/>
      <c r="AG15" s="190"/>
      <c r="AH15" s="190"/>
      <c r="AI15" s="191"/>
    </row>
    <row r="16" spans="1:35" x14ac:dyDescent="0.2">
      <c r="A16" s="77"/>
      <c r="B16" s="176">
        <v>81.3</v>
      </c>
      <c r="C16" s="175" t="s">
        <v>229</v>
      </c>
      <c r="D16" s="79">
        <f>IF(ISBLANK(E16),0,IF(C16='Curve Numbers'!$C$4,VLOOKUP(E16,'Curve Numbers'!$A$5:$F$93,3,FALSE),IF(C16='Curve Numbers'!$D$4,VLOOKUP(E16,'Curve Numbers'!$A$5:$F$93,4,FALSE),IF(C16='Curve Numbers'!$E$4,VLOOKUP(E16,'Curve Numbers'!$A$5:$F$93,5,FALSE),IF(C16='Curve Numbers'!$F$4,VLOOKUP(E16,'Curve Numbers'!$A$5:$F$93,6,FALSE),"UPDATE")))))</f>
        <v>30</v>
      </c>
      <c r="E16" s="188" t="s">
        <v>320</v>
      </c>
      <c r="F16" s="188"/>
      <c r="G16" s="188"/>
      <c r="H16" s="77"/>
      <c r="I16" s="77"/>
      <c r="W16" s="189" t="str">
        <f>IF(ISBLANK(E16),"",VLOOKUP(E16,'Curve Numbers'!$A$5:$F$93,2,FALSE))</f>
        <v>Woods are protected from grazing, and litter and brush adequately cover the soil.</v>
      </c>
      <c r="X16" s="190"/>
      <c r="Y16" s="190"/>
      <c r="Z16" s="190"/>
      <c r="AA16" s="190"/>
      <c r="AB16" s="190"/>
      <c r="AC16" s="190"/>
      <c r="AD16" s="190"/>
      <c r="AE16" s="190"/>
      <c r="AF16" s="190"/>
      <c r="AG16" s="190"/>
      <c r="AH16" s="190"/>
      <c r="AI16" s="191"/>
    </row>
    <row r="17" spans="1:35" x14ac:dyDescent="0.2">
      <c r="A17" s="77"/>
      <c r="B17" s="176">
        <v>248.17</v>
      </c>
      <c r="C17" s="175" t="s">
        <v>231</v>
      </c>
      <c r="D17" s="79">
        <f>IF(ISBLANK(E17),0,IF(C17='Curve Numbers'!$C$4,VLOOKUP(E17,'Curve Numbers'!$A$5:$F$93,3,FALSE),IF(C17='Curve Numbers'!$D$4,VLOOKUP(E17,'Curve Numbers'!$A$5:$F$93,4,FALSE),IF(C17='Curve Numbers'!$E$4,VLOOKUP(E17,'Curve Numbers'!$A$5:$F$93,5,FALSE),IF(C17='Curve Numbers'!$F$4,VLOOKUP(E17,'Curve Numbers'!$A$5:$F$93,6,FALSE),"UPDATE")))))</f>
        <v>70</v>
      </c>
      <c r="E17" s="188" t="s">
        <v>320</v>
      </c>
      <c r="F17" s="188"/>
      <c r="G17" s="188"/>
      <c r="H17" s="77"/>
      <c r="I17" s="77"/>
      <c r="W17" s="189" t="str">
        <f>IF(ISBLANK(E17),"",VLOOKUP(E17,'Curve Numbers'!$A$5:$F$93,2,FALSE))</f>
        <v>Woods are protected from grazing, and litter and brush adequately cover the soil.</v>
      </c>
      <c r="X17" s="190"/>
      <c r="Y17" s="190"/>
      <c r="Z17" s="190"/>
      <c r="AA17" s="190"/>
      <c r="AB17" s="190"/>
      <c r="AC17" s="190"/>
      <c r="AD17" s="190"/>
      <c r="AE17" s="190"/>
      <c r="AF17" s="190"/>
      <c r="AG17" s="190"/>
      <c r="AH17" s="190"/>
      <c r="AI17" s="191"/>
    </row>
    <row r="18" spans="1:35" x14ac:dyDescent="0.2">
      <c r="A18" s="77"/>
      <c r="B18" s="176">
        <v>48.2</v>
      </c>
      <c r="C18" s="175" t="s">
        <v>229</v>
      </c>
      <c r="D18" s="79">
        <f>IF(ISBLANK(E18),0,IF(C18='Curve Numbers'!$C$4,VLOOKUP(E18,'Curve Numbers'!$A$5:$F$93,3,FALSE),IF(C18='Curve Numbers'!$D$4,VLOOKUP(E18,'Curve Numbers'!$A$5:$F$93,4,FALSE),IF(C18='Curve Numbers'!$E$4,VLOOKUP(E18,'Curve Numbers'!$A$5:$F$93,5,FALSE),IF(C18='Curve Numbers'!$F$4,VLOOKUP(E18,'Curve Numbers'!$A$5:$F$93,6,FALSE),"UPDATE")))))</f>
        <v>54</v>
      </c>
      <c r="E18" s="188" t="s">
        <v>259</v>
      </c>
      <c r="F18" s="188"/>
      <c r="G18" s="188"/>
      <c r="H18" s="77"/>
      <c r="I18" s="77"/>
      <c r="W18" s="189" t="str">
        <f>IF(ISBLANK(E18),"",VLOOKUP(E18,'Curve Numbers'!$A$5:$F$93,2,FALSE))</f>
        <v>Average Impervious Area = 25%</v>
      </c>
      <c r="X18" s="190"/>
      <c r="Y18" s="190"/>
      <c r="Z18" s="190"/>
      <c r="AA18" s="190"/>
      <c r="AB18" s="190"/>
      <c r="AC18" s="190"/>
      <c r="AD18" s="190"/>
      <c r="AE18" s="190"/>
      <c r="AF18" s="190"/>
      <c r="AG18" s="190"/>
      <c r="AH18" s="190"/>
      <c r="AI18" s="191"/>
    </row>
    <row r="19" spans="1:35" x14ac:dyDescent="0.2">
      <c r="A19" s="77"/>
      <c r="B19" s="176">
        <v>38.049999999999997</v>
      </c>
      <c r="C19" s="175" t="s">
        <v>231</v>
      </c>
      <c r="D19" s="79">
        <f>IF(ISBLANK(E19),0,IF(C19='Curve Numbers'!$C$4,VLOOKUP(E19,'Curve Numbers'!$A$5:$F$93,3,FALSE),IF(C19='Curve Numbers'!$D$4,VLOOKUP(E19,'Curve Numbers'!$A$5:$F$93,4,FALSE),IF(C19='Curve Numbers'!$E$4,VLOOKUP(E19,'Curve Numbers'!$A$5:$F$93,5,FALSE),IF(C19='Curve Numbers'!$F$4,VLOOKUP(E19,'Curve Numbers'!$A$5:$F$93,6,FALSE),"UPDATE")))))</f>
        <v>80</v>
      </c>
      <c r="E19" s="188" t="s">
        <v>259</v>
      </c>
      <c r="F19" s="188"/>
      <c r="G19" s="188"/>
      <c r="H19" s="77"/>
      <c r="I19" s="77"/>
      <c r="W19" s="189" t="str">
        <f>IF(ISBLANK(E19),"",VLOOKUP(E19,'Curve Numbers'!$A$5:$F$93,2,FALSE))</f>
        <v>Average Impervious Area = 25%</v>
      </c>
      <c r="X19" s="190"/>
      <c r="Y19" s="190"/>
      <c r="Z19" s="190"/>
      <c r="AA19" s="190"/>
      <c r="AB19" s="190"/>
      <c r="AC19" s="190"/>
      <c r="AD19" s="190"/>
      <c r="AE19" s="190"/>
      <c r="AF19" s="190"/>
      <c r="AG19" s="190"/>
      <c r="AH19" s="190"/>
      <c r="AI19" s="191"/>
    </row>
    <row r="20" spans="1:35" x14ac:dyDescent="0.2">
      <c r="A20" s="77"/>
      <c r="B20" s="176">
        <v>22.15</v>
      </c>
      <c r="C20" s="175" t="s">
        <v>229</v>
      </c>
      <c r="D20" s="79">
        <f>IF(ISBLANK(E20),0,IF(C20='Curve Numbers'!$C$4,VLOOKUP(E20,'Curve Numbers'!$A$5:$F$93,3,FALSE),IF(C20='Curve Numbers'!$D$4,VLOOKUP(E20,'Curve Numbers'!$A$5:$F$93,4,FALSE),IF(C20='Curve Numbers'!$E$4,VLOOKUP(E20,'Curve Numbers'!$A$5:$F$93,5,FALSE),IF(C20='Curve Numbers'!$F$4,VLOOKUP(E20,'Curve Numbers'!$A$5:$F$93,6,FALSE),"UPDATE")))))</f>
        <v>89</v>
      </c>
      <c r="E20" s="188" t="s">
        <v>248</v>
      </c>
      <c r="F20" s="188"/>
      <c r="G20" s="188"/>
      <c r="H20" s="77"/>
      <c r="I20" s="77"/>
      <c r="W20" s="189" t="str">
        <f>IF(ISBLANK(E20),"",VLOOKUP(E20,'Curve Numbers'!$A$5:$F$93,2,FALSE))</f>
        <v>Average Impervious Area = 85%</v>
      </c>
      <c r="X20" s="190"/>
      <c r="Y20" s="190"/>
      <c r="Z20" s="190"/>
      <c r="AA20" s="190"/>
      <c r="AB20" s="190"/>
      <c r="AC20" s="190"/>
      <c r="AD20" s="190"/>
      <c r="AE20" s="190"/>
      <c r="AF20" s="190"/>
      <c r="AG20" s="190"/>
      <c r="AH20" s="190"/>
      <c r="AI20" s="191"/>
    </row>
    <row r="21" spans="1:35" x14ac:dyDescent="0.2">
      <c r="A21" s="77"/>
      <c r="B21" s="176">
        <v>3.87</v>
      </c>
      <c r="C21" s="175" t="s">
        <v>231</v>
      </c>
      <c r="D21" s="79">
        <f>IF(ISBLANK(E21),0,IF(C21='Curve Numbers'!$C$4,VLOOKUP(E21,'Curve Numbers'!$A$5:$F$93,3,FALSE),IF(C21='Curve Numbers'!$D$4,VLOOKUP(E21,'Curve Numbers'!$A$5:$F$93,4,FALSE),IF(C21='Curve Numbers'!$E$4,VLOOKUP(E21,'Curve Numbers'!$A$5:$F$93,5,FALSE),IF(C21='Curve Numbers'!$F$4,VLOOKUP(E21,'Curve Numbers'!$A$5:$F$93,6,FALSE),"UPDATE")))))</f>
        <v>94</v>
      </c>
      <c r="E21" s="188" t="s">
        <v>248</v>
      </c>
      <c r="F21" s="188"/>
      <c r="G21" s="188"/>
      <c r="H21" s="77"/>
      <c r="I21" s="77"/>
      <c r="W21" s="189" t="str">
        <f>IF(ISBLANK(E21),"",VLOOKUP(E21,'Curve Numbers'!$A$5:$F$93,2,FALSE))</f>
        <v>Average Impervious Area = 85%</v>
      </c>
      <c r="X21" s="190"/>
      <c r="Y21" s="190"/>
      <c r="Z21" s="190"/>
      <c r="AA21" s="190"/>
      <c r="AB21" s="190"/>
      <c r="AC21" s="190"/>
      <c r="AD21" s="190"/>
      <c r="AE21" s="190"/>
      <c r="AF21" s="190"/>
      <c r="AG21" s="190"/>
      <c r="AH21" s="190"/>
      <c r="AI21" s="191"/>
    </row>
    <row r="22" spans="1:35" ht="12.75" thickBot="1" x14ac:dyDescent="0.25">
      <c r="A22" s="77"/>
      <c r="B22" s="176">
        <v>57.64</v>
      </c>
      <c r="C22" s="175" t="s">
        <v>229</v>
      </c>
      <c r="D22" s="79">
        <f>IF(ISBLANK(E22),0,IF(C22='Curve Numbers'!$C$4,VLOOKUP(E22,'Curve Numbers'!$A$5:$F$93,3,FALSE),IF(C22='Curve Numbers'!$D$4,VLOOKUP(E22,'Curve Numbers'!$A$5:$F$93,4,FALSE),IF(C22='Curve Numbers'!$E$4,VLOOKUP(E22,'Curve Numbers'!$A$5:$F$93,5,FALSE),IF(C22='Curve Numbers'!$F$4,VLOOKUP(E22,'Curve Numbers'!$A$5:$F$93,6,FALSE),"UPDATE")))))</f>
        <v>39</v>
      </c>
      <c r="E22" s="188" t="s">
        <v>237</v>
      </c>
      <c r="F22" s="188"/>
      <c r="G22" s="188"/>
      <c r="H22" s="77"/>
      <c r="I22" s="77"/>
      <c r="W22" s="185" t="str">
        <f>IF(ISBLANK(E22),"",VLOOKUP(E22,'Curve Numbers'!$A$5:$F$93,2,FALSE))</f>
        <v>Grass Cover &gt; 75%</v>
      </c>
      <c r="X22" s="186"/>
      <c r="Y22" s="186"/>
      <c r="Z22" s="186"/>
      <c r="AA22" s="186"/>
      <c r="AB22" s="186"/>
      <c r="AC22" s="186"/>
      <c r="AD22" s="186"/>
      <c r="AE22" s="186"/>
      <c r="AF22" s="186"/>
      <c r="AG22" s="186"/>
      <c r="AH22" s="186"/>
      <c r="AI22" s="187"/>
    </row>
    <row r="23" spans="1:35" ht="12.75" thickBot="1" x14ac:dyDescent="0.25">
      <c r="A23" s="77"/>
      <c r="B23" s="176">
        <v>52.58</v>
      </c>
      <c r="C23" s="175" t="s">
        <v>231</v>
      </c>
      <c r="D23" s="79">
        <f>IF(ISBLANK(E23),0,IF(C23='Curve Numbers'!$C$4,VLOOKUP(E23,'Curve Numbers'!$A$5:$F$93,3,FALSE),IF(C23='Curve Numbers'!$D$4,VLOOKUP(E23,'Curve Numbers'!$A$5:$F$93,4,FALSE),IF(C23='Curve Numbers'!$E$4,VLOOKUP(E23,'Curve Numbers'!$A$5:$F$93,5,FALSE),IF(C23='Curve Numbers'!$F$4,VLOOKUP(E23,'Curve Numbers'!$A$5:$F$93,6,FALSE),"UPDATE")))))</f>
        <v>74</v>
      </c>
      <c r="E23" s="188" t="s">
        <v>237</v>
      </c>
      <c r="F23" s="188"/>
      <c r="G23" s="188"/>
      <c r="H23" s="77"/>
      <c r="I23" s="77"/>
      <c r="W23" s="185" t="str">
        <f>IF(ISBLANK(E23),"",VLOOKUP(E23,'Curve Numbers'!$A$5:$F$93,2,FALSE))</f>
        <v>Grass Cover &gt; 75%</v>
      </c>
      <c r="X23" s="186"/>
      <c r="Y23" s="186"/>
      <c r="Z23" s="186"/>
      <c r="AA23" s="186"/>
      <c r="AB23" s="186"/>
      <c r="AC23" s="186"/>
      <c r="AD23" s="186"/>
      <c r="AE23" s="186"/>
      <c r="AF23" s="186"/>
      <c r="AG23" s="186"/>
      <c r="AH23" s="186"/>
      <c r="AI23" s="187"/>
    </row>
    <row r="24" spans="1:35" x14ac:dyDescent="0.2">
      <c r="A24" s="77"/>
      <c r="B24" s="81"/>
      <c r="C24" s="77"/>
      <c r="D24" s="77"/>
      <c r="E24" s="77"/>
      <c r="F24" s="77"/>
      <c r="G24" s="77"/>
      <c r="H24" s="77"/>
      <c r="I24" s="77"/>
    </row>
    <row r="25" spans="1:35" x14ac:dyDescent="0.2">
      <c r="E25" s="75" t="s">
        <v>81</v>
      </c>
      <c r="G25" s="82">
        <f>((B15*D15)+(B16*D16)+(B17*D17)+(B23*D23)+(B21*D21)+(B18*D18)+(B19*D19)+(B20*D20)+(B22*D22))/(D9)</f>
        <v>63.53229703472163</v>
      </c>
    </row>
    <row r="27" spans="1:35" ht="13.5" x14ac:dyDescent="0.25">
      <c r="A27" s="83" t="s">
        <v>94</v>
      </c>
      <c r="B27" s="83"/>
      <c r="C27" s="83"/>
    </row>
    <row r="29" spans="1:35" ht="13.5" x14ac:dyDescent="0.25">
      <c r="B29" s="75" t="s">
        <v>95</v>
      </c>
      <c r="E29" s="84">
        <f>'tc-pre'!D48</f>
        <v>1.7038542878289411</v>
      </c>
      <c r="F29" s="75" t="s">
        <v>11</v>
      </c>
    </row>
    <row r="30" spans="1:35" x14ac:dyDescent="0.2">
      <c r="B30" s="75" t="s">
        <v>9</v>
      </c>
    </row>
    <row r="32" spans="1:35" x14ac:dyDescent="0.2">
      <c r="A32" s="83" t="s">
        <v>82</v>
      </c>
    </row>
    <row r="33" spans="1:9" x14ac:dyDescent="0.2">
      <c r="A33" s="97" t="s">
        <v>373</v>
      </c>
      <c r="B33" s="199" t="s">
        <v>165</v>
      </c>
      <c r="C33" s="199"/>
      <c r="D33" s="199"/>
    </row>
    <row r="34" spans="1:9" x14ac:dyDescent="0.2">
      <c r="A34" s="90"/>
      <c r="B34" s="98"/>
      <c r="C34" s="98"/>
    </row>
    <row r="35" spans="1:9" x14ac:dyDescent="0.2">
      <c r="A35" s="51"/>
      <c r="C35" s="85" t="s">
        <v>13</v>
      </c>
      <c r="D35" s="85"/>
      <c r="E35" s="85"/>
      <c r="F35" s="86" t="s">
        <v>83</v>
      </c>
    </row>
    <row r="36" spans="1:9" x14ac:dyDescent="0.2">
      <c r="C36" s="75">
        <v>2</v>
      </c>
      <c r="D36" s="75" t="s">
        <v>15</v>
      </c>
      <c r="F36" s="79">
        <f>VLOOKUP($B$33,'SCDHEC 24 HR Storm (in.)'!$B$3:$J$64,3,FALSE)</f>
        <v>3.6</v>
      </c>
    </row>
    <row r="37" spans="1:9" x14ac:dyDescent="0.2">
      <c r="C37" s="75">
        <v>10</v>
      </c>
      <c r="D37" s="75" t="s">
        <v>15</v>
      </c>
      <c r="F37" s="79">
        <f>VLOOKUP($B$33,'SCDHEC 24 HR Storm (in.)'!$B$3:$J$64,5,FALSE)</f>
        <v>5.3</v>
      </c>
    </row>
    <row r="38" spans="1:9" x14ac:dyDescent="0.2">
      <c r="C38" s="75">
        <v>25</v>
      </c>
      <c r="D38" s="75" t="s">
        <v>15</v>
      </c>
      <c r="F38" s="79">
        <f>VLOOKUP($B$33,'SCDHEC 24 HR Storm (in.)'!$B$3:$J$64,6,FALSE)</f>
        <v>6.4</v>
      </c>
    </row>
    <row r="39" spans="1:9" x14ac:dyDescent="0.2">
      <c r="C39" s="75">
        <v>50</v>
      </c>
      <c r="D39" s="75" t="s">
        <v>15</v>
      </c>
      <c r="F39" s="79">
        <f>VLOOKUP($B$33,'SCDHEC 24 HR Storm (in.)'!$B$3:$J$64,7,FALSE)</f>
        <v>7.3</v>
      </c>
    </row>
    <row r="40" spans="1:9" x14ac:dyDescent="0.2">
      <c r="C40" s="75">
        <v>100</v>
      </c>
      <c r="D40" s="75" t="s">
        <v>15</v>
      </c>
      <c r="F40" s="79">
        <f>VLOOKUP($B$33,'SCDHEC 24 HR Storm (in.)'!$B$3:$J$64,8,FALSE)</f>
        <v>8.3000000000000007</v>
      </c>
    </row>
    <row r="42" spans="1:9" ht="13.5" x14ac:dyDescent="0.25">
      <c r="A42" s="83" t="s">
        <v>96</v>
      </c>
    </row>
    <row r="44" spans="1:9" x14ac:dyDescent="0.2">
      <c r="C44" s="75" t="s">
        <v>84</v>
      </c>
      <c r="E44" s="87">
        <f>1000/G25-10</f>
        <v>5.740025887203176</v>
      </c>
      <c r="F44" s="75" t="s">
        <v>85</v>
      </c>
      <c r="G44" s="77"/>
    </row>
    <row r="46" spans="1:9" ht="13.5" x14ac:dyDescent="0.25">
      <c r="C46" s="75" t="s">
        <v>97</v>
      </c>
      <c r="E46" s="87">
        <f>0.2*E44</f>
        <v>1.1480051774406352</v>
      </c>
      <c r="F46" s="75" t="s">
        <v>85</v>
      </c>
    </row>
    <row r="47" spans="1:9" x14ac:dyDescent="0.2">
      <c r="A47" s="76" t="str">
        <f>A2</f>
        <v>Outfall #9 - Lt. Sta. 340+25</v>
      </c>
      <c r="B47" s="76"/>
      <c r="C47" s="76"/>
      <c r="D47" s="76"/>
      <c r="E47" s="76"/>
      <c r="F47" s="76"/>
      <c r="G47" s="76"/>
      <c r="H47" s="76"/>
      <c r="I47" s="76"/>
    </row>
    <row r="48" spans="1:9" s="88" customFormat="1" ht="16.5" customHeight="1" x14ac:dyDescent="0.2">
      <c r="A48" s="88" t="str">
        <f>A3</f>
        <v>Unnamed Tributary to Twelvemile Creek</v>
      </c>
      <c r="B48" s="75"/>
      <c r="C48" s="75"/>
      <c r="D48" s="75"/>
      <c r="E48" s="75"/>
      <c r="F48" s="75"/>
      <c r="G48" s="75"/>
      <c r="H48" s="75"/>
      <c r="I48" s="75"/>
    </row>
    <row r="50" spans="1:9" s="76" customFormat="1" x14ac:dyDescent="0.2">
      <c r="A50" s="88" t="s">
        <v>23</v>
      </c>
      <c r="B50" s="75"/>
      <c r="C50" s="75"/>
      <c r="D50" s="75"/>
      <c r="E50" s="75"/>
      <c r="F50" s="75"/>
      <c r="G50" s="75"/>
      <c r="H50" s="75"/>
      <c r="I50" s="75"/>
    </row>
    <row r="51" spans="1:9" ht="12.75" customHeight="1" x14ac:dyDescent="0.2">
      <c r="A51" s="102"/>
      <c r="B51" s="102"/>
      <c r="C51" s="102"/>
      <c r="D51" s="102"/>
      <c r="E51" s="102"/>
      <c r="F51" s="102"/>
      <c r="G51" s="102"/>
      <c r="H51" s="102"/>
    </row>
    <row r="52" spans="1:9" x14ac:dyDescent="0.2">
      <c r="A52" s="83" t="s">
        <v>86</v>
      </c>
    </row>
    <row r="53" spans="1:9" x14ac:dyDescent="0.2">
      <c r="A53" s="83"/>
    </row>
    <row r="54" spans="1:9" ht="18" customHeight="1" x14ac:dyDescent="0.2">
      <c r="A54" s="83"/>
      <c r="B54" s="75" t="s">
        <v>98</v>
      </c>
    </row>
    <row r="56" spans="1:9" ht="24" x14ac:dyDescent="0.2">
      <c r="B56" s="89" t="s">
        <v>13</v>
      </c>
      <c r="C56" s="90" t="s">
        <v>87</v>
      </c>
      <c r="D56" s="90" t="s">
        <v>88</v>
      </c>
      <c r="E56" s="90" t="s">
        <v>22</v>
      </c>
      <c r="F56" s="90" t="s">
        <v>32</v>
      </c>
      <c r="H56" s="90"/>
    </row>
    <row r="57" spans="1:9" x14ac:dyDescent="0.2">
      <c r="B57" s="90">
        <v>2</v>
      </c>
      <c r="C57" s="86">
        <f>F36</f>
        <v>3.6</v>
      </c>
      <c r="D57" s="86">
        <f>$E$44</f>
        <v>5.740025887203176</v>
      </c>
      <c r="E57" s="90" t="s">
        <v>22</v>
      </c>
      <c r="F57" s="91">
        <f>((C57-0.2*D57)^2)/(C57+0.8*D57)</f>
        <v>0.73391887336088102</v>
      </c>
      <c r="G57" s="75" t="s">
        <v>85</v>
      </c>
      <c r="H57" s="82"/>
    </row>
    <row r="58" spans="1:9" ht="14.25" customHeight="1" x14ac:dyDescent="0.2">
      <c r="B58" s="90">
        <v>10</v>
      </c>
      <c r="C58" s="86">
        <f>F37</f>
        <v>5.3</v>
      </c>
      <c r="D58" s="86">
        <f>$E$44</f>
        <v>5.740025887203176</v>
      </c>
      <c r="E58" s="90" t="s">
        <v>22</v>
      </c>
      <c r="F58" s="91">
        <f>((C58-0.2*D58)^2)/(C58+0.8*D58)</f>
        <v>1.7427239097413494</v>
      </c>
      <c r="G58" s="75" t="s">
        <v>85</v>
      </c>
      <c r="H58" s="82"/>
    </row>
    <row r="59" spans="1:9" x14ac:dyDescent="0.2">
      <c r="B59" s="90">
        <v>25</v>
      </c>
      <c r="C59" s="86">
        <f>F38</f>
        <v>6.4</v>
      </c>
      <c r="D59" s="86">
        <f>$E$44</f>
        <v>5.740025887203176</v>
      </c>
      <c r="E59" s="90" t="s">
        <v>22</v>
      </c>
      <c r="F59" s="91">
        <f>(C59-0.2*D59)^2/(C59+0.8*D59)</f>
        <v>2.5094066272721074</v>
      </c>
      <c r="G59" s="75" t="s">
        <v>85</v>
      </c>
      <c r="H59" s="82"/>
    </row>
    <row r="60" spans="1:9" x14ac:dyDescent="0.2">
      <c r="B60" s="90">
        <v>50</v>
      </c>
      <c r="C60" s="86">
        <f>F39</f>
        <v>7.3</v>
      </c>
      <c r="D60" s="86">
        <f>$E$44</f>
        <v>5.740025887203176</v>
      </c>
      <c r="E60" s="90" t="s">
        <v>22</v>
      </c>
      <c r="F60" s="91">
        <f>(C60-0.2*D60)^2/(C60+0.8*D60)</f>
        <v>3.1825575501838292</v>
      </c>
      <c r="G60" s="75" t="s">
        <v>85</v>
      </c>
      <c r="H60" s="82"/>
    </row>
    <row r="61" spans="1:9" x14ac:dyDescent="0.2">
      <c r="B61" s="90">
        <v>100</v>
      </c>
      <c r="C61" s="86">
        <f>F40</f>
        <v>8.3000000000000007</v>
      </c>
      <c r="D61" s="86">
        <f>$E$44</f>
        <v>5.740025887203176</v>
      </c>
      <c r="E61" s="90" t="s">
        <v>22</v>
      </c>
      <c r="F61" s="91">
        <f>(C61-0.2*D61)^2/(C61+0.8*D61)</f>
        <v>3.9676503081616699</v>
      </c>
      <c r="G61" s="75" t="s">
        <v>85</v>
      </c>
      <c r="H61" s="82"/>
    </row>
    <row r="63" spans="1:9" ht="12" customHeight="1" x14ac:dyDescent="0.25">
      <c r="A63" s="80" t="s">
        <v>136</v>
      </c>
    </row>
    <row r="64" spans="1:9" ht="12" customHeight="1" x14ac:dyDescent="0.2">
      <c r="A64" s="112" t="s">
        <v>139</v>
      </c>
      <c r="B64" s="92"/>
      <c r="C64" s="92"/>
      <c r="D64" s="92"/>
      <c r="E64" s="92"/>
      <c r="F64" s="92"/>
      <c r="G64" s="92"/>
      <c r="H64" s="92"/>
      <c r="I64" s="92"/>
    </row>
    <row r="65" spans="1:22" x14ac:dyDescent="0.2">
      <c r="A65" s="92"/>
      <c r="B65" s="92"/>
      <c r="C65" s="92"/>
      <c r="D65" s="92"/>
      <c r="E65" s="92"/>
      <c r="F65" s="92"/>
      <c r="G65" s="92"/>
      <c r="H65" s="92"/>
      <c r="I65" s="92"/>
      <c r="K65" s="196" t="s">
        <v>132</v>
      </c>
      <c r="L65" s="196"/>
      <c r="M65" s="196"/>
      <c r="N65" s="196" t="s">
        <v>133</v>
      </c>
      <c r="O65" s="196"/>
      <c r="P65" s="196"/>
      <c r="Q65" s="196" t="s">
        <v>134</v>
      </c>
      <c r="R65" s="196"/>
      <c r="S65" s="196"/>
      <c r="T65" s="196" t="s">
        <v>135</v>
      </c>
      <c r="U65" s="196"/>
      <c r="V65" s="196"/>
    </row>
    <row r="66" spans="1:22" ht="24.75" x14ac:dyDescent="0.25">
      <c r="B66" s="89" t="s">
        <v>13</v>
      </c>
      <c r="C66" s="90" t="s">
        <v>87</v>
      </c>
      <c r="D66" s="90" t="s">
        <v>99</v>
      </c>
      <c r="E66" s="89" t="s">
        <v>100</v>
      </c>
      <c r="F66" s="90" t="s">
        <v>101</v>
      </c>
      <c r="H66" s="90"/>
      <c r="K66" s="93" t="s">
        <v>125</v>
      </c>
      <c r="L66" s="93" t="s">
        <v>126</v>
      </c>
      <c r="M66" s="93" t="s">
        <v>127</v>
      </c>
      <c r="N66" s="93" t="s">
        <v>125</v>
      </c>
      <c r="O66" s="93" t="s">
        <v>126</v>
      </c>
      <c r="P66" s="93" t="s">
        <v>127</v>
      </c>
      <c r="Q66" s="93" t="s">
        <v>125</v>
      </c>
      <c r="R66" s="93" t="s">
        <v>126</v>
      </c>
      <c r="S66" s="93" t="s">
        <v>127</v>
      </c>
      <c r="T66" s="93" t="s">
        <v>125</v>
      </c>
      <c r="U66" s="93" t="s">
        <v>126</v>
      </c>
      <c r="V66" s="93" t="s">
        <v>127</v>
      </c>
    </row>
    <row r="67" spans="1:22" ht="12.75" x14ac:dyDescent="0.2">
      <c r="A67" s="76"/>
      <c r="B67" s="90">
        <v>2</v>
      </c>
      <c r="C67" s="86">
        <f>F36</f>
        <v>3.6</v>
      </c>
      <c r="D67" s="86">
        <f>$E$46</f>
        <v>1.1480051774406352</v>
      </c>
      <c r="E67" s="86">
        <f>IF(D67/C67&gt;0.5,0.5,D67/C67)</f>
        <v>0.31889032706684312</v>
      </c>
      <c r="F67" s="91">
        <f>IF($A$64='Rainfall Distribution Coef.'!$K$2,10^(K67+(L67*LOG($E$29))+(M67*(LOG($E$29))^2)),IF($A$64='Rainfall Distribution Coef.'!$K$3,10^(N67+(O67*LOG($E$29))+(P67*(LOG($E$29))^2)),IF($A$64='Rainfall Distribution Coef.'!$K$4,10^(Q67+(R67*LOG($E$29))+(S67*(LOG($E$29))^2)),IF($A$64='Rainfall Distribution Coef.'!$K$5,10^(T67+(U67*LOG($E$29))+(V67*(LOG($E$29))^2)),"UPDATE"))))</f>
        <v>198.89880587547751</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2.0672465868686225</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-0.43833924977374616</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-1.0147280838389956E-2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1.7178426688951185</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-0.18812911759405201</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2.38430884416501E-2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2.4478048887436232</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-0.62006514263093659</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-0.10585162842227321</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2.3805972504691066</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-0.50647757803858828</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-0.12768963757915552</v>
      </c>
    </row>
    <row r="68" spans="1:22" ht="12.75" x14ac:dyDescent="0.2">
      <c r="B68" s="90">
        <v>10</v>
      </c>
      <c r="C68" s="86">
        <f>F37</f>
        <v>5.3</v>
      </c>
      <c r="D68" s="86">
        <f>$E$46</f>
        <v>1.1480051774406352</v>
      </c>
      <c r="E68" s="86">
        <f>IF(D68/C68&gt;0.5,0.5,D68/C68)</f>
        <v>0.21660475046049721</v>
      </c>
      <c r="F68" s="91">
        <f>IF($A$64='Rainfall Distribution Coef.'!$K$2,10^(K68+(L68*LOG($E$29))+(M68*(LOG($E$29))^2)),IF($A$64='Rainfall Distribution Coef.'!$K$3,10^(N68+(O68*LOG($E$29))+(P68*(LOG($E$29))^2)),IF($A$64='Rainfall Distribution Coef.'!$K$4,10^(Q68+(R68*LOG($E$29))+(S68*(LOG($E$29))^2)),IF($A$64='Rainfall Distribution Coef.'!$K$5,10^(T68+(U68*LOG($E$29))+(V68*(LOG($E$29))^2)),"UPDATE"))))</f>
        <v>224.54782900967066</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2.2177091874102151</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-0.49756351577510316</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-8.1518976784487301E-2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1.8927607500506789</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-0.27327642135391028</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-5.5511437742644179E-2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2.5019763819350884</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-0.61946352695465345</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-0.13635969271572401</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2.4283413036854617</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-0.51471366656012596</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-0.14845354838663061</v>
      </c>
    </row>
    <row r="69" spans="1:22" ht="12.75" customHeight="1" x14ac:dyDescent="0.2">
      <c r="A69" s="92"/>
      <c r="B69" s="90">
        <v>25</v>
      </c>
      <c r="C69" s="86">
        <f>F38</f>
        <v>6.4</v>
      </c>
      <c r="D69" s="86">
        <f>$E$46</f>
        <v>1.1480051774406352</v>
      </c>
      <c r="E69" s="86">
        <f>IF(D69/C69&gt;0.5,0.5,D69/C69)</f>
        <v>0.17937580897509925</v>
      </c>
      <c r="F69" s="91">
        <f>IF($A$64='Rainfall Distribution Coef.'!$K$2,10^(K69+(L69*LOG($E$29))+(M69*(LOG($E$29))^2)),IF($A$64='Rainfall Distribution Coef.'!$K$3,10^(N69+(O69*LOG($E$29))+(P69*(LOG($E$29))^2)),IF($A$64='Rainfall Distribution Coef.'!$K$4,10^(Q69+(R69*LOG($E$29))+(S69*(LOG($E$29))^2)),IF($A$64='Rainfall Distribution Coef.'!$K$5,10^(T69+(U69*LOG($E$29))+(V69*(LOG($E$29))^2)),"UPDATE"))))</f>
        <v>233.08837095346107</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2.2498337451657631</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-0.50601904070479464</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-9.5108084288124506E-2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1.9430275881232681</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-0.28909622753718661</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-8.4075955721553228E-2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2.5183403631649952</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-0.6180767488843224</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-0.14519412053020894</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2.4426539702395234</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-0.51591616137010432</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-0.15559778225767845</v>
      </c>
    </row>
    <row r="70" spans="1:22" ht="12.75" x14ac:dyDescent="0.2">
      <c r="B70" s="90">
        <v>50</v>
      </c>
      <c r="C70" s="86">
        <f>F39</f>
        <v>7.3</v>
      </c>
      <c r="D70" s="86">
        <f>$E$46</f>
        <v>1.1480051774406352</v>
      </c>
      <c r="E70" s="86">
        <f>IF(D70/C70&gt;0.5,0.5,D70/C70)</f>
        <v>0.15726098321104592</v>
      </c>
      <c r="F70" s="91">
        <f>IF($A$64='Rainfall Distribution Coef.'!$K$2,10^(K70+(L70*LOG($E$29))+(M70*(LOG($E$29))^2)),IF($A$64='Rainfall Distribution Coef.'!$K$3,10^(N70+(O70*LOG($E$29))+(P70*(LOG($E$29))^2)),IF($A$64='Rainfall Distribution Coef.'!$K$4,10^(Q70+(R70*LOG($E$29))+(S70*(LOG($E$29))^2)),IF($A$64='Rainfall Distribution Coef.'!$K$5,10^(T70+(U70*LOG($E$29))+(V70*(LOG($E$29))^2)),"UPDATE"))))</f>
        <v>238.31465355248216</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2.2653428724740934</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-0.50832340554940902</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-0.10134667663616394</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1.9679554197245093</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-0.29654450085451972</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-9.8954810495608309E-2</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2.5280609348295848</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-0.61725297162461146</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-0.1504419686840188</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2.4511560150045133</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-0.51663047024228326</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-0.1598416173218003</v>
      </c>
    </row>
    <row r="71" spans="1:22" ht="12.75" x14ac:dyDescent="0.2">
      <c r="B71" s="90">
        <v>100</v>
      </c>
      <c r="C71" s="86">
        <f>F40</f>
        <v>8.3000000000000007</v>
      </c>
      <c r="D71" s="86">
        <f>$E$46</f>
        <v>1.1480051774406352</v>
      </c>
      <c r="E71" s="86">
        <f>IF(D71/C71&gt;0.5,0.5,D71/C71)</f>
        <v>0.13831387680007654</v>
      </c>
      <c r="F71" s="91">
        <f>IF($A$64='Rainfall Distribution Coef.'!$K$2,10^(K71+(L71*LOG($E$29))+(M71*(LOG($E$29))^2)),IF($A$64='Rainfall Distribution Coef.'!$K$3,10^(N71+(O71*LOG($E$29))+(P71*(LOG($E$29))^2)),IF($A$64='Rainfall Distribution Coef.'!$K$4,10^(Q71+(R71*LOG($E$29))+(S71*(LOG($E$29))^2)),IF($A$64='Rainfall Distribution Coef.'!$K$5,10^(T71+(U71*LOG($E$29))+(V71*(LOG($E$29))^2)),"UPDATE"))))</f>
        <v>242.8854336426545</v>
      </c>
      <c r="G71" s="75" t="s">
        <v>89</v>
      </c>
      <c r="H71" s="82"/>
      <c r="K71" s="94">
        <f>(IF('Rainfall Distribution Coef.'!$B$7&gt;$E71,'Rainfall Distribution Coef.'!C$7,IF(AND($E71&gt;'Rainfall Distribution Coef.'!$B$7,$E71&lt;'Rainfall Distribution Coef.'!$B$8),'Rainfall Distribution Coef.'!C$7+('Rainfall Distribution Coef.'!C$8-'Rainfall Distribution Coef.'!C$7)*(($E71-'Rainfall Distribution Coef.'!$B$7)/('Rainfall Distribution Coef.'!$B$8-'Rainfall Distribution Coef.'!$B$7)),IF(AND($E71&gt;'Rainfall Distribution Coef.'!$B$8,$E71&lt;'Rainfall Distribution Coef.'!$B$9),'Rainfall Distribution Coef.'!C$8+('Rainfall Distribution Coef.'!C$9-'Rainfall Distribution Coef.'!C$8)*(($E71-'Rainfall Distribution Coef.'!$B$8)/('Rainfall Distribution Coef.'!$B$9-'Rainfall Distribution Coef.'!$B$8)),IF(AND($E71&gt;'Rainfall Distribution Coef.'!$B$9,$E71&lt;'Rainfall Distribution Coef.'!$B$10),'Rainfall Distribution Coef.'!C$9+('Rainfall Distribution Coef.'!C$10-'Rainfall Distribution Coef.'!C$9)*(($E71-'Rainfall Distribution Coef.'!$B$9)/('Rainfall Distribution Coef.'!$B$10-'Rainfall Distribution Coef.'!$B$9)),IF(AND($E71&gt;'Rainfall Distribution Coef.'!$B$10,$E71&lt;'Rainfall Distribution Coef.'!$B$11),'Rainfall Distribution Coef.'!C$10+('Rainfall Distribution Coef.'!C$11-'Rainfall Distribution Coef.'!C$10)*(($E71-'Rainfall Distribution Coef.'!$B$10)/('Rainfall Distribution Coef.'!$B$11-'Rainfall Distribution Coef.'!$B$10)),IF(AND($E71&gt;'Rainfall Distribution Coef.'!$B$11,$E71&lt;'Rainfall Distribution Coef.'!$B$12),'Rainfall Distribution Coef.'!C$11+('Rainfall Distribution Coef.'!C$12-'Rainfall Distribution Coef.'!C$11)*(($E71-'Rainfall Distribution Coef.'!$B$11)/('Rainfall Distribution Coef.'!$B$12-'Rainfall Distribution Coef.'!$B$11)),IF(AND($E71&gt;'Rainfall Distribution Coef.'!$B$12,$E71&lt;'Rainfall Distribution Coef.'!$B$13),'Rainfall Distribution Coef.'!C$12+('Rainfall Distribution Coef.'!C$13-'Rainfall Distribution Coef.'!C$12)*(($E71-'Rainfall Distribution Coef.'!$B$12)/('Rainfall Distribution Coef.'!$B$13-'Rainfall Distribution Coef.'!$B$12)),0))))))))+IF(AND($E71&gt;'Rainfall Distribution Coef.'!$B$13,$E71&lt;'Rainfall Distribution Coef.'!$B$14),'Rainfall Distribution Coef.'!C$13+('Rainfall Distribution Coef.'!C$14-'Rainfall Distribution Coef.'!C$13)*(($E71-'Rainfall Distribution Coef.'!$B$13)/('Rainfall Distribution Coef.'!$B$14-'Rainfall Distribution Coef.'!$B$13)),IF($E71='Rainfall Distribution Coef.'!$B$14,'Rainfall Distribution Coef.'!C$14,0))</f>
        <v>2.2786304782001063</v>
      </c>
      <c r="L71" s="94">
        <f>(IF('Rainfall Distribution Coef.'!$B$7&gt;$E71,'Rainfall Distribution Coef.'!D$7,IF(AND($E71&gt;'Rainfall Distribution Coef.'!$B$7,$E71&lt;'Rainfall Distribution Coef.'!$B$8),'Rainfall Distribution Coef.'!D$7+('Rainfall Distribution Coef.'!D$8-'Rainfall Distribution Coef.'!D$7)*(($E71-'Rainfall Distribution Coef.'!$B$7)/('Rainfall Distribution Coef.'!$B$8-'Rainfall Distribution Coef.'!$B$7)),IF(AND($E71&gt;'Rainfall Distribution Coef.'!$B$8,$E71&lt;'Rainfall Distribution Coef.'!$B$9),'Rainfall Distribution Coef.'!D$8+('Rainfall Distribution Coef.'!D$9-'Rainfall Distribution Coef.'!D$8)*(($E71-'Rainfall Distribution Coef.'!$B$8)/('Rainfall Distribution Coef.'!$B$9-'Rainfall Distribution Coef.'!$B$8)),IF(AND($E71&gt;'Rainfall Distribution Coef.'!$B$9,$E71&lt;'Rainfall Distribution Coef.'!$B$10),'Rainfall Distribution Coef.'!D$9+('Rainfall Distribution Coef.'!D$10-'Rainfall Distribution Coef.'!D$9)*(($E71-'Rainfall Distribution Coef.'!$B$9)/('Rainfall Distribution Coef.'!$B$10-'Rainfall Distribution Coef.'!$B$9)),IF(AND($E71&gt;'Rainfall Distribution Coef.'!$B$10,$E71&lt;'Rainfall Distribution Coef.'!$B$11),'Rainfall Distribution Coef.'!D$10+('Rainfall Distribution Coef.'!D$11-'Rainfall Distribution Coef.'!D$10)*(($E71-'Rainfall Distribution Coef.'!$B$10)/('Rainfall Distribution Coef.'!$B$11-'Rainfall Distribution Coef.'!$B$10)),IF(AND($E71&gt;'Rainfall Distribution Coef.'!$B$11,$E71&lt;'Rainfall Distribution Coef.'!$B$12),'Rainfall Distribution Coef.'!D$11+('Rainfall Distribution Coef.'!D$12-'Rainfall Distribution Coef.'!D$11)*(($E71-'Rainfall Distribution Coef.'!$B$11)/('Rainfall Distribution Coef.'!$B$12-'Rainfall Distribution Coef.'!$B$11)),IF(AND($E71&gt;'Rainfall Distribution Coef.'!$B$12,$E71&lt;'Rainfall Distribution Coef.'!$B$13),'Rainfall Distribution Coef.'!D$12+('Rainfall Distribution Coef.'!D$13-'Rainfall Distribution Coef.'!D$12)*(($E71-'Rainfall Distribution Coef.'!$B$12)/('Rainfall Distribution Coef.'!$B$13-'Rainfall Distribution Coef.'!$B$12)),0))))))))+IF(AND($E71&gt;'Rainfall Distribution Coef.'!$B$13,$E71&lt;'Rainfall Distribution Coef.'!$B$14),'Rainfall Distribution Coef.'!D$13+('Rainfall Distribution Coef.'!D$14-'Rainfall Distribution Coef.'!D$13)*(($E71-'Rainfall Distribution Coef.'!$B$13)/('Rainfall Distribution Coef.'!$B$14-'Rainfall Distribution Coef.'!$B$13)),IF($E71='Rainfall Distribution Coef.'!$B$14,'Rainfall Distribution Coef.'!D$14,0))</f>
        <v>-0.51029769403743208</v>
      </c>
      <c r="M71" s="94">
        <f>(IF('Rainfall Distribution Coef.'!$B$7&gt;$E71,'Rainfall Distribution Coef.'!E$7,IF(AND($E71&gt;'Rainfall Distribution Coef.'!$B$7,$E71&lt;'Rainfall Distribution Coef.'!$B$8),'Rainfall Distribution Coef.'!E$7+('Rainfall Distribution Coef.'!E$8-'Rainfall Distribution Coef.'!E$7)*(($E71-'Rainfall Distribution Coef.'!$B$7)/('Rainfall Distribution Coef.'!$B$8-'Rainfall Distribution Coef.'!$B$7)),IF(AND($E71&gt;'Rainfall Distribution Coef.'!$B$8,$E71&lt;'Rainfall Distribution Coef.'!$B$9),'Rainfall Distribution Coef.'!E$8+('Rainfall Distribution Coef.'!E$9-'Rainfall Distribution Coef.'!E$8)*(($E71-'Rainfall Distribution Coef.'!$B$8)/('Rainfall Distribution Coef.'!$B$9-'Rainfall Distribution Coef.'!$B$8)),IF(AND($E71&gt;'Rainfall Distribution Coef.'!$B$9,$E71&lt;'Rainfall Distribution Coef.'!$B$10),'Rainfall Distribution Coef.'!E$9+('Rainfall Distribution Coef.'!E$10-'Rainfall Distribution Coef.'!E$9)*(($E71-'Rainfall Distribution Coef.'!$B$9)/('Rainfall Distribution Coef.'!$B$10-'Rainfall Distribution Coef.'!$B$9)),IF(AND($E71&gt;'Rainfall Distribution Coef.'!$B$10,$E71&lt;'Rainfall Distribution Coef.'!$B$11),'Rainfall Distribution Coef.'!E$10+('Rainfall Distribution Coef.'!E$11-'Rainfall Distribution Coef.'!E$10)*(($E71-'Rainfall Distribution Coef.'!$B$10)/('Rainfall Distribution Coef.'!$B$11-'Rainfall Distribution Coef.'!$B$10)),IF(AND($E71&gt;'Rainfall Distribution Coef.'!$B$11,$E71&lt;'Rainfall Distribution Coef.'!$B$12),'Rainfall Distribution Coef.'!E$11+('Rainfall Distribution Coef.'!E$12-'Rainfall Distribution Coef.'!E$11)*(($E71-'Rainfall Distribution Coef.'!$B$11)/('Rainfall Distribution Coef.'!$B$12-'Rainfall Distribution Coef.'!$B$11)),IF(AND($E71&gt;'Rainfall Distribution Coef.'!$B$12,$E71&lt;'Rainfall Distribution Coef.'!$B$13),'Rainfall Distribution Coef.'!E$12+('Rainfall Distribution Coef.'!E$13-'Rainfall Distribution Coef.'!E$12)*(($E71-'Rainfall Distribution Coef.'!$B$12)/('Rainfall Distribution Coef.'!$B$13-'Rainfall Distribution Coef.'!$B$12)),0))))))))+IF(AND($E71&gt;'Rainfall Distribution Coef.'!$B$13,$E71&lt;'Rainfall Distribution Coef.'!$B$14),'Rainfall Distribution Coef.'!E$13+('Rainfall Distribution Coef.'!E$14-'Rainfall Distribution Coef.'!E$13)*(($E71-'Rainfall Distribution Coef.'!$B$13)/('Rainfall Distribution Coef.'!$B$14-'Rainfall Distribution Coef.'!$B$13)),IF($E71='Rainfall Distribution Coef.'!$B$14,'Rainfall Distribution Coef.'!E$14,0))</f>
        <v>-0.10669165535469841</v>
      </c>
      <c r="N71" s="94">
        <f>(IF('Rainfall Distribution Coef.'!$B$16&gt;$E71,'Rainfall Distribution Coef.'!C$16,IF(AND($E71&gt;'Rainfall Distribution Coef.'!$B$16,$E71&lt;'Rainfall Distribution Coef.'!$B$17),'Rainfall Distribution Coef.'!C$16+('Rainfall Distribution Coef.'!C$17-'Rainfall Distribution Coef.'!C$16)*(($E71-'Rainfall Distribution Coef.'!$B$16)/('Rainfall Distribution Coef.'!$B$17-'Rainfall Distribution Coef.'!$B$16)),IF(AND($E71&gt;'Rainfall Distribution Coef.'!$B$17,$E71&lt;'Rainfall Distribution Coef.'!$B$18),'Rainfall Distribution Coef.'!C$17+('Rainfall Distribution Coef.'!C$18-'Rainfall Distribution Coef.'!C$17)*(($E71-'Rainfall Distribution Coef.'!$B$17)/('Rainfall Distribution Coef.'!$B$18-'Rainfall Distribution Coef.'!$B$17)),IF(AND($E71&gt;'Rainfall Distribution Coef.'!$B$18,$E71&lt;'Rainfall Distribution Coef.'!$B$19),'Rainfall Distribution Coef.'!C$18+('Rainfall Distribution Coef.'!C$19-'Rainfall Distribution Coef.'!C$18)*(($E71-'Rainfall Distribution Coef.'!$B$18)/('Rainfall Distribution Coef.'!$B$19-'Rainfall Distribution Coef.'!$B$18)),IF(AND($E71&gt;'Rainfall Distribution Coef.'!$B$19,$E71&lt;'Rainfall Distribution Coef.'!$B$20),'Rainfall Distribution Coef.'!C$19+('Rainfall Distribution Coef.'!C$20-'Rainfall Distribution Coef.'!C$19)*(($E71-'Rainfall Distribution Coef.'!$B$19)/('Rainfall Distribution Coef.'!$B$20-'Rainfall Distribution Coef.'!$B$19)),IF($E71='Rainfall Distribution Coef.'!$B$20,'Rainfall Distribution Coef.'!C$20,0)))))))</f>
        <v>1.9893125980709538</v>
      </c>
      <c r="O71" s="94">
        <f>(IF('Rainfall Distribution Coef.'!$B$16&gt;$E71,'Rainfall Distribution Coef.'!D$16,IF(AND($E71&gt;'Rainfall Distribution Coef.'!$B$16,$E71&lt;'Rainfall Distribution Coef.'!$B$17),'Rainfall Distribution Coef.'!D$16+('Rainfall Distribution Coef.'!D$17-'Rainfall Distribution Coef.'!D$16)*(($E71-'Rainfall Distribution Coef.'!$B$16)/('Rainfall Distribution Coef.'!$B$17-'Rainfall Distribution Coef.'!$B$16)),IF(AND($E71&gt;'Rainfall Distribution Coef.'!$B$17,$E71&lt;'Rainfall Distribution Coef.'!$B$18),'Rainfall Distribution Coef.'!D$17+('Rainfall Distribution Coef.'!D$18-'Rainfall Distribution Coef.'!D$17)*(($E71-'Rainfall Distribution Coef.'!$B$17)/('Rainfall Distribution Coef.'!$B$18-'Rainfall Distribution Coef.'!$B$17)),IF(AND($E71&gt;'Rainfall Distribution Coef.'!$B$18,$E71&lt;'Rainfall Distribution Coef.'!$B$19),'Rainfall Distribution Coef.'!D$18+('Rainfall Distribution Coef.'!D$19-'Rainfall Distribution Coef.'!D$18)*(($E71-'Rainfall Distribution Coef.'!$B$18)/('Rainfall Distribution Coef.'!$B$19-'Rainfall Distribution Coef.'!$B$18)),IF(AND($E71&gt;'Rainfall Distribution Coef.'!$B$19,$E71&lt;'Rainfall Distribution Coef.'!$B$20),'Rainfall Distribution Coef.'!D$19+('Rainfall Distribution Coef.'!D$20-'Rainfall Distribution Coef.'!D$19)*(($E71-'Rainfall Distribution Coef.'!$B$19)/('Rainfall Distribution Coef.'!$B$20-'Rainfall Distribution Coef.'!$B$19)),IF($E71='Rainfall Distribution Coef.'!$B$20,'Rainfall Distribution Coef.'!D$20,0)))))))</f>
        <v>-0.30292588629373424</v>
      </c>
      <c r="P71" s="94">
        <f>(IF('Rainfall Distribution Coef.'!$B$16&gt;$E71,'Rainfall Distribution Coef.'!E$16,IF(AND($E71&gt;'Rainfall Distribution Coef.'!$B$16,$E71&lt;'Rainfall Distribution Coef.'!$B$17),'Rainfall Distribution Coef.'!E$16+('Rainfall Distribution Coef.'!E$17-'Rainfall Distribution Coef.'!E$16)*(($E71-'Rainfall Distribution Coef.'!$B$16)/('Rainfall Distribution Coef.'!$B$17-'Rainfall Distribution Coef.'!$B$16)),IF(AND($E71&gt;'Rainfall Distribution Coef.'!$B$17,$E71&lt;'Rainfall Distribution Coef.'!$B$18),'Rainfall Distribution Coef.'!E$17+('Rainfall Distribution Coef.'!E$18-'Rainfall Distribution Coef.'!E$17)*(($E71-'Rainfall Distribution Coef.'!$B$17)/('Rainfall Distribution Coef.'!$B$18-'Rainfall Distribution Coef.'!$B$17)),IF(AND($E71&gt;'Rainfall Distribution Coef.'!$B$18,$E71&lt;'Rainfall Distribution Coef.'!$B$19),'Rainfall Distribution Coef.'!E$18+('Rainfall Distribution Coef.'!E$19-'Rainfall Distribution Coef.'!E$18)*(($E71-'Rainfall Distribution Coef.'!$B$18)/('Rainfall Distribution Coef.'!$B$19-'Rainfall Distribution Coef.'!$B$18)),IF(AND($E71&gt;'Rainfall Distribution Coef.'!$B$19,$E71&lt;'Rainfall Distribution Coef.'!$B$20),'Rainfall Distribution Coef.'!E$19+('Rainfall Distribution Coef.'!E$20-'Rainfall Distribution Coef.'!E$19)*(($E71-'Rainfall Distribution Coef.'!$B$19)/('Rainfall Distribution Coef.'!$B$20-'Rainfall Distribution Coef.'!$B$19)),IF($E71='Rainfall Distribution Coef.'!$B$20,'Rainfall Distribution Coef.'!E$20,0)))))))</f>
        <v>-0.11170242368890851</v>
      </c>
      <c r="Q71" s="95">
        <f>(IF('Rainfall Distribution Coef.'!$B$22&gt;$E71,'Rainfall Distribution Coef.'!C$22,IF(AND($E71&gt;'Rainfall Distribution Coef.'!$B$22,$E71&lt;'Rainfall Distribution Coef.'!$B$23),'Rainfall Distribution Coef.'!C$22+('Rainfall Distribution Coef.'!C$23-'Rainfall Distribution Coef.'!C$22)*(($E71-'Rainfall Distribution Coef.'!$B$22)/('Rainfall Distribution Coef.'!$B$23-'Rainfall Distribution Coef.'!$B$22)),IF(AND($E71&gt;'Rainfall Distribution Coef.'!$B$23,$E71&lt;'Rainfall Distribution Coef.'!$B$24),'Rainfall Distribution Coef.'!C$23+('Rainfall Distribution Coef.'!C$24-'Rainfall Distribution Coef.'!C$23)*(($E71-'Rainfall Distribution Coef.'!$B$23)/('Rainfall Distribution Coef.'!$B$24-'Rainfall Distribution Coef.'!$B$23)),IF(AND($E71&gt;'Rainfall Distribution Coef.'!$B$24,$E71&lt;'Rainfall Distribution Coef.'!$B$25),'Rainfall Distribution Coef.'!C$24+('Rainfall Distribution Coef.'!C$25-'Rainfall Distribution Coef.'!C$24)*(($E71-'Rainfall Distribution Coef.'!$B$24)/('Rainfall Distribution Coef.'!$B$25-'Rainfall Distribution Coef.'!$B$24)),IF(AND($E71&gt;'Rainfall Distribution Coef.'!$B$25,$E71&lt;'Rainfall Distribution Coef.'!$B$26),'Rainfall Distribution Coef.'!C$25+('Rainfall Distribution Coef.'!C$26-'Rainfall Distribution Coef.'!C$25)*(($E71-'Rainfall Distribution Coef.'!$B$25)/('Rainfall Distribution Coef.'!$B$26-'Rainfall Distribution Coef.'!$B$25)),IF(AND($E71&gt;'Rainfall Distribution Coef.'!$B$26,$E71&lt;'Rainfall Distribution Coef.'!$B$27),'Rainfall Distribution Coef.'!C$26+('Rainfall Distribution Coef.'!C$27-'Rainfall Distribution Coef.'!C$26)*(($E71-'Rainfall Distribution Coef.'!$B$26)/('Rainfall Distribution Coef.'!$B$27-'Rainfall Distribution Coef.'!$B$26)), IF($E71='Rainfall Distribution Coef.'!$B$27,'Rainfall Distribution Coef.'!C$27,0))))))))</f>
        <v>2.5363891354525263</v>
      </c>
      <c r="R71" s="95">
        <f>(IF('Rainfall Distribution Coef.'!$B$22&gt;$E71,'Rainfall Distribution Coef.'!D$22,IF(AND($E71&gt;'Rainfall Distribution Coef.'!$B$22,$E71&lt;'Rainfall Distribution Coef.'!$B$23),'Rainfall Distribution Coef.'!D$22+('Rainfall Distribution Coef.'!D$23-'Rainfall Distribution Coef.'!D$22)*(($E71-'Rainfall Distribution Coef.'!$B$22)/('Rainfall Distribution Coef.'!$B$23-'Rainfall Distribution Coef.'!$B$22)),IF(AND($E71&gt;'Rainfall Distribution Coef.'!$B$23,$E71&lt;'Rainfall Distribution Coef.'!$B$24),'Rainfall Distribution Coef.'!D$23+('Rainfall Distribution Coef.'!D$24-'Rainfall Distribution Coef.'!D$23)*(($E71-'Rainfall Distribution Coef.'!$B$23)/('Rainfall Distribution Coef.'!$B$24-'Rainfall Distribution Coef.'!$B$23)),IF(AND($E71&gt;'Rainfall Distribution Coef.'!$B$24,$E71&lt;'Rainfall Distribution Coef.'!$B$25),'Rainfall Distribution Coef.'!D$24+('Rainfall Distribution Coef.'!D$25-'Rainfall Distribution Coef.'!D$24)*(($E71-'Rainfall Distribution Coef.'!$B$24)/('Rainfall Distribution Coef.'!$B$25-'Rainfall Distribution Coef.'!$B$24)),IF(AND($E71&gt;'Rainfall Distribution Coef.'!$B$25,$E71&lt;'Rainfall Distribution Coef.'!$B$26),'Rainfall Distribution Coef.'!D$25+('Rainfall Distribution Coef.'!D$26-'Rainfall Distribution Coef.'!D$25)*(($E71-'Rainfall Distribution Coef.'!$B$25)/('Rainfall Distribution Coef.'!$B$26-'Rainfall Distribution Coef.'!$B$25)),IF(AND($E71&gt;'Rainfall Distribution Coef.'!$B$26,$E71&lt;'Rainfall Distribution Coef.'!$B$27),'Rainfall Distribution Coef.'!D$26+('Rainfall Distribution Coef.'!D$27-'Rainfall Distribution Coef.'!D$26)*(($E71-'Rainfall Distribution Coef.'!$B$26)/('Rainfall Distribution Coef.'!$B$27-'Rainfall Distribution Coef.'!$B$26)), IF($E71='Rainfall Distribution Coef.'!$B$27,'Rainfall Distribution Coef.'!D$27,0))))))))</f>
        <v>-0.61654719191080287</v>
      </c>
      <c r="S71" s="95">
        <f>(IF('Rainfall Distribution Coef.'!$B$22&gt;$E71,'Rainfall Distribution Coef.'!E$22,IF(AND($E71&gt;'Rainfall Distribution Coef.'!$B$22,$E71&lt;'Rainfall Distribution Coef.'!$B$23),'Rainfall Distribution Coef.'!E$22+('Rainfall Distribution Coef.'!E$23-'Rainfall Distribution Coef.'!E$22)*(($E71-'Rainfall Distribution Coef.'!$B$22)/('Rainfall Distribution Coef.'!$B$23-'Rainfall Distribution Coef.'!$B$22)),IF(AND($E71&gt;'Rainfall Distribution Coef.'!$B$23,$E71&lt;'Rainfall Distribution Coef.'!$B$24),'Rainfall Distribution Coef.'!E$23+('Rainfall Distribution Coef.'!E$24-'Rainfall Distribution Coef.'!E$23)*(($E71-'Rainfall Distribution Coef.'!$B$23)/('Rainfall Distribution Coef.'!$B$24-'Rainfall Distribution Coef.'!$B$23)),IF(AND($E71&gt;'Rainfall Distribution Coef.'!$B$24,$E71&lt;'Rainfall Distribution Coef.'!$B$25),'Rainfall Distribution Coef.'!E$24+('Rainfall Distribution Coef.'!E$25-'Rainfall Distribution Coef.'!E$24)*(($E71-'Rainfall Distribution Coef.'!$B$24)/('Rainfall Distribution Coef.'!$B$25-'Rainfall Distribution Coef.'!$B$24)),IF(AND($E71&gt;'Rainfall Distribution Coef.'!$B$25,$E71&lt;'Rainfall Distribution Coef.'!$B$26),'Rainfall Distribution Coef.'!E$25+('Rainfall Distribution Coef.'!E$26-'Rainfall Distribution Coef.'!E$25)*(($E71-'Rainfall Distribution Coef.'!$B$25)/('Rainfall Distribution Coef.'!$B$26-'Rainfall Distribution Coef.'!$B$25)),IF(AND($E71&gt;'Rainfall Distribution Coef.'!$B$26,$E71&lt;'Rainfall Distribution Coef.'!$B$27),'Rainfall Distribution Coef.'!E$26+('Rainfall Distribution Coef.'!E$27-'Rainfall Distribution Coef.'!E$26)*(($E71-'Rainfall Distribution Coef.'!$B$26)/('Rainfall Distribution Coef.'!$B$27-'Rainfall Distribution Coef.'!$B$26)), IF($E71='Rainfall Distribution Coef.'!$B$27,'Rainfall Distribution Coef.'!E$27,0))))))))</f>
        <v>-0.15493811703534185</v>
      </c>
      <c r="T71" s="95">
        <f>(IF('Rainfall Distribution Coef.'!$B$29&gt;$E71,'Rainfall Distribution Coef.'!C$29,IF(AND($E71&gt;'Rainfall Distribution Coef.'!$B$29,$E71&lt;'Rainfall Distribution Coef.'!$B$30),'Rainfall Distribution Coef.'!C$29+('Rainfall Distribution Coef.'!C$30-'Rainfall Distribution Coef.'!C$29)*(($E71-'Rainfall Distribution Coef.'!$B$29)/('Rainfall Distribution Coef.'!$B$30-'Rainfall Distribution Coef.'!$B$29)),IF(AND($E71&gt;'Rainfall Distribution Coef.'!$B$30,$E71&lt;'Rainfall Distribution Coef.'!$B$31),'Rainfall Distribution Coef.'!C$30+('Rainfall Distribution Coef.'!C$31-'Rainfall Distribution Coef.'!C$30)*(($E71-'Rainfall Distribution Coef.'!$B$30)/('Rainfall Distribution Coef.'!$B$31-'Rainfall Distribution Coef.'!$B$30)),IF(AND($E71&gt;'Rainfall Distribution Coef.'!$B$31,$E71&lt;'Rainfall Distribution Coef.'!$B$32),'Rainfall Distribution Coef.'!C$31+('Rainfall Distribution Coef.'!C$32-'Rainfall Distribution Coef.'!C$31)*(($E71-'Rainfall Distribution Coef.'!$B$31)/('Rainfall Distribution Coef.'!$B$32-'Rainfall Distribution Coef.'!$B$31)),IF(AND($E71&gt;'Rainfall Distribution Coef.'!$B$32,$E71&lt;'Rainfall Distribution Coef.'!$B$33),'Rainfall Distribution Coef.'!C$32+('Rainfall Distribution Coef.'!C$33-'Rainfall Distribution Coef.'!C$32)*(($E71-'Rainfall Distribution Coef.'!$B$32)/('Rainfall Distribution Coef.'!$B$33-'Rainfall Distribution Coef.'!$B$32)),IF(AND($E71&gt;'Rainfall Distribution Coef.'!$B$33,$E71&lt;'Rainfall Distribution Coef.'!$B$34),'Rainfall Distribution Coef.'!C$33+('Rainfall Distribution Coef.'!C$34-'Rainfall Distribution Coef.'!C$33)*(($E71-'Rainfall Distribution Coef.'!$B$33)/('Rainfall Distribution Coef.'!$B$34-'Rainfall Distribution Coef.'!$B$33)), IF($E71='Rainfall Distribution Coef.'!$B$34,'Rainfall Distribution Coef.'!C$34,0))))))))</f>
        <v>2.4584402300642108</v>
      </c>
      <c r="U71" s="95">
        <f>(IF('Rainfall Distribution Coef.'!$B$29&gt;$E71,'Rainfall Distribution Coef.'!D$29,IF(AND($E71&gt;'Rainfall Distribution Coef.'!$B$29,$E71&lt;'Rainfall Distribution Coef.'!$B$30),'Rainfall Distribution Coef.'!D$29+('Rainfall Distribution Coef.'!D$30-'Rainfall Distribution Coef.'!D$29)*(($E71-'Rainfall Distribution Coef.'!$B$29)/('Rainfall Distribution Coef.'!$B$30-'Rainfall Distribution Coef.'!$B$29)),IF(AND($E71&gt;'Rainfall Distribution Coef.'!$B$30,$E71&lt;'Rainfall Distribution Coef.'!$B$31),'Rainfall Distribution Coef.'!D$30+('Rainfall Distribution Coef.'!D$31-'Rainfall Distribution Coef.'!D$30)*(($E71-'Rainfall Distribution Coef.'!$B$30)/('Rainfall Distribution Coef.'!$B$31-'Rainfall Distribution Coef.'!$B$30)),IF(AND($E71&gt;'Rainfall Distribution Coef.'!$B$31,$E71&lt;'Rainfall Distribution Coef.'!$B$32),'Rainfall Distribution Coef.'!D$31+('Rainfall Distribution Coef.'!D$32-'Rainfall Distribution Coef.'!D$31)*(($E71-'Rainfall Distribution Coef.'!$B$31)/('Rainfall Distribution Coef.'!$B$32-'Rainfall Distribution Coef.'!$B$31)),IF(AND($E71&gt;'Rainfall Distribution Coef.'!$B$32,$E71&lt;'Rainfall Distribution Coef.'!$B$33),'Rainfall Distribution Coef.'!D$32+('Rainfall Distribution Coef.'!D$33-'Rainfall Distribution Coef.'!D$32)*(($E71-'Rainfall Distribution Coef.'!$B$32)/('Rainfall Distribution Coef.'!$B$33-'Rainfall Distribution Coef.'!$B$32)),IF(AND($E71&gt;'Rainfall Distribution Coef.'!$B$33,$E71&lt;'Rainfall Distribution Coef.'!$B$34),'Rainfall Distribution Coef.'!D$33+('Rainfall Distribution Coef.'!D$34-'Rainfall Distribution Coef.'!D$33)*(($E71-'Rainfall Distribution Coef.'!$B$33)/('Rainfall Distribution Coef.'!$B$34-'Rainfall Distribution Coef.'!$B$33)), IF($E71='Rainfall Distribution Coef.'!$B$34,'Rainfall Distribution Coef.'!D$34,0))))))))</f>
        <v>-0.51724246177935762</v>
      </c>
      <c r="V71" s="95">
        <f>(IF('Rainfall Distribution Coef.'!$B$29&gt;$E71,'Rainfall Distribution Coef.'!E$29,IF(AND($E71&gt;'Rainfall Distribution Coef.'!$B$29,$E71&lt;'Rainfall Distribution Coef.'!$B$30),'Rainfall Distribution Coef.'!E$29+('Rainfall Distribution Coef.'!E$30-'Rainfall Distribution Coef.'!E$29)*(($E71-'Rainfall Distribution Coef.'!$B$29)/('Rainfall Distribution Coef.'!$B$30-'Rainfall Distribution Coef.'!$B$29)),IF(AND($E71&gt;'Rainfall Distribution Coef.'!$B$30,$E71&lt;'Rainfall Distribution Coef.'!$B$31),'Rainfall Distribution Coef.'!E$30+('Rainfall Distribution Coef.'!E$31-'Rainfall Distribution Coef.'!E$30)*(($E71-'Rainfall Distribution Coef.'!$B$30)/('Rainfall Distribution Coef.'!$B$31-'Rainfall Distribution Coef.'!$B$30)),IF(AND($E71&gt;'Rainfall Distribution Coef.'!$B$31,$E71&lt;'Rainfall Distribution Coef.'!$B$32),'Rainfall Distribution Coef.'!E$31+('Rainfall Distribution Coef.'!E$32-'Rainfall Distribution Coef.'!E$31)*(($E71-'Rainfall Distribution Coef.'!$B$31)/('Rainfall Distribution Coef.'!$B$32-'Rainfall Distribution Coef.'!$B$31)),IF(AND($E71&gt;'Rainfall Distribution Coef.'!$B$32,$E71&lt;'Rainfall Distribution Coef.'!$B$33),'Rainfall Distribution Coef.'!E$32+('Rainfall Distribution Coef.'!E$33-'Rainfall Distribution Coef.'!E$32)*(($E71-'Rainfall Distribution Coef.'!$B$32)/('Rainfall Distribution Coef.'!$B$33-'Rainfall Distribution Coef.'!$B$32)),IF(AND($E71&gt;'Rainfall Distribution Coef.'!$B$33,$E71&lt;'Rainfall Distribution Coef.'!$B$34),'Rainfall Distribution Coef.'!E$33+('Rainfall Distribution Coef.'!E$34-'Rainfall Distribution Coef.'!E$33)*(($E71-'Rainfall Distribution Coef.'!$B$33)/('Rainfall Distribution Coef.'!$B$34-'Rainfall Distribution Coef.'!$B$33)), IF($E71='Rainfall Distribution Coef.'!$B$34,'Rainfall Distribution Coef.'!E$34,0))))))))</f>
        <v>-0.16347756704206531</v>
      </c>
    </row>
    <row r="72" spans="1:22" x14ac:dyDescent="0.2">
      <c r="E72" s="91"/>
    </row>
    <row r="73" spans="1:22" x14ac:dyDescent="0.2">
      <c r="A73" s="83" t="s">
        <v>90</v>
      </c>
      <c r="B73" s="83"/>
      <c r="C73" s="83"/>
    </row>
    <row r="74" spans="1:22" ht="12" customHeight="1" x14ac:dyDescent="0.2"/>
    <row r="75" spans="1:22" ht="13.5" x14ac:dyDescent="0.25">
      <c r="B75" s="171">
        <v>5</v>
      </c>
      <c r="C75" s="75" t="s">
        <v>91</v>
      </c>
      <c r="D75" s="96">
        <f>B75/D9</f>
        <v>8.4480865084058457E-3</v>
      </c>
      <c r="E75" s="97" t="s">
        <v>102</v>
      </c>
      <c r="F75" s="172">
        <v>0.9</v>
      </c>
    </row>
    <row r="77" spans="1:22" ht="12.75" x14ac:dyDescent="0.25">
      <c r="A77" s="201" t="s">
        <v>103</v>
      </c>
      <c r="B77" s="201"/>
      <c r="C77" s="201"/>
      <c r="D77" s="201"/>
      <c r="E77" s="201"/>
      <c r="F77" s="201"/>
      <c r="G77" s="201"/>
      <c r="H77" s="201"/>
      <c r="I77" s="201"/>
    </row>
    <row r="79" spans="1:22" ht="13.5" x14ac:dyDescent="0.25">
      <c r="B79" s="75" t="s">
        <v>104</v>
      </c>
    </row>
    <row r="80" spans="1:22" ht="11.25" customHeight="1" x14ac:dyDescent="0.2">
      <c r="C80" s="98"/>
      <c r="D80" s="98"/>
    </row>
    <row r="81" spans="1:10" ht="24.75" x14ac:dyDescent="0.25">
      <c r="B81" s="89" t="s">
        <v>13</v>
      </c>
      <c r="C81" s="90" t="s">
        <v>101</v>
      </c>
      <c r="D81" s="90" t="s">
        <v>105</v>
      </c>
      <c r="E81" s="90" t="s">
        <v>32</v>
      </c>
      <c r="F81" s="90" t="s">
        <v>106</v>
      </c>
      <c r="G81" s="90" t="s">
        <v>107</v>
      </c>
      <c r="H81" s="90"/>
    </row>
    <row r="82" spans="1:10" x14ac:dyDescent="0.2">
      <c r="B82" s="90">
        <v>2</v>
      </c>
      <c r="C82" s="91">
        <f>F67</f>
        <v>198.89880587547751</v>
      </c>
      <c r="D82" s="86">
        <f>$D$9/640</f>
        <v>0.92476562500000004</v>
      </c>
      <c r="E82" s="91">
        <f>F57</f>
        <v>0.73391887336088102</v>
      </c>
      <c r="F82" s="99">
        <f>$F$75</f>
        <v>0.9</v>
      </c>
      <c r="G82" s="91">
        <f>F82*E82*D82*C82</f>
        <v>121.49388488570237</v>
      </c>
      <c r="H82" s="82" t="s">
        <v>33</v>
      </c>
    </row>
    <row r="83" spans="1:10" x14ac:dyDescent="0.2">
      <c r="B83" s="90">
        <v>10</v>
      </c>
      <c r="C83" s="91">
        <f>F68</f>
        <v>224.54782900967066</v>
      </c>
      <c r="D83" s="86">
        <f>$D$9/640</f>
        <v>0.92476562500000004</v>
      </c>
      <c r="E83" s="91">
        <f>F58</f>
        <v>1.7427239097413494</v>
      </c>
      <c r="F83" s="99">
        <f>$F$75</f>
        <v>0.9</v>
      </c>
      <c r="G83" s="91">
        <f>F83*E83*D83*C83</f>
        <v>325.69540959777117</v>
      </c>
      <c r="H83" s="82" t="s">
        <v>33</v>
      </c>
    </row>
    <row r="84" spans="1:10" x14ac:dyDescent="0.2">
      <c r="B84" s="90">
        <v>25</v>
      </c>
      <c r="C84" s="91">
        <f>F69</f>
        <v>233.08837095346107</v>
      </c>
      <c r="D84" s="86">
        <f>$D$9/640</f>
        <v>0.92476562500000004</v>
      </c>
      <c r="E84" s="91">
        <f>F59</f>
        <v>2.5094066272721074</v>
      </c>
      <c r="F84" s="99">
        <f>$F$75</f>
        <v>0.9</v>
      </c>
      <c r="G84" s="91">
        <f>F84*E84*D84*C84</f>
        <v>486.81711089788746</v>
      </c>
      <c r="H84" s="82" t="s">
        <v>33</v>
      </c>
    </row>
    <row r="85" spans="1:10" x14ac:dyDescent="0.2">
      <c r="B85" s="90">
        <v>50</v>
      </c>
      <c r="C85" s="91">
        <f>F70</f>
        <v>238.31465355248216</v>
      </c>
      <c r="D85" s="86">
        <f>$D$9/640</f>
        <v>0.92476562500000004</v>
      </c>
      <c r="E85" s="91">
        <f>F60</f>
        <v>3.1825575501838292</v>
      </c>
      <c r="F85" s="99">
        <f>$F$75</f>
        <v>0.9</v>
      </c>
      <c r="G85" s="91">
        <f>F85*E85*D85*C85</f>
        <v>631.2497226677956</v>
      </c>
      <c r="H85" s="82" t="s">
        <v>33</v>
      </c>
    </row>
    <row r="86" spans="1:10" x14ac:dyDescent="0.2">
      <c r="B86" s="90">
        <v>100</v>
      </c>
      <c r="C86" s="91">
        <f>F71</f>
        <v>242.8854336426545</v>
      </c>
      <c r="D86" s="86">
        <f>$D$9/640</f>
        <v>0.92476562500000004</v>
      </c>
      <c r="E86" s="91">
        <f>F61</f>
        <v>3.9676503081616699</v>
      </c>
      <c r="F86" s="99">
        <f>$F$75</f>
        <v>0.9</v>
      </c>
      <c r="G86" s="91">
        <f>F86*E86*D86*C86</f>
        <v>802.06404045354475</v>
      </c>
      <c r="H86" s="82" t="s">
        <v>33</v>
      </c>
    </row>
    <row r="87" spans="1:10" x14ac:dyDescent="0.2">
      <c r="B87" s="90"/>
      <c r="C87" s="91"/>
      <c r="D87" s="86"/>
      <c r="E87" s="91"/>
      <c r="F87" s="99"/>
      <c r="G87" s="91"/>
      <c r="H87" s="82"/>
    </row>
    <row r="88" spans="1:10" ht="28.5" customHeight="1" x14ac:dyDescent="0.2">
      <c r="A88" s="182" t="s">
        <v>426</v>
      </c>
      <c r="B88" s="183"/>
      <c r="C88" s="183"/>
      <c r="D88" s="183"/>
      <c r="E88" s="183"/>
      <c r="F88" s="183"/>
      <c r="G88" s="183"/>
      <c r="H88" s="183"/>
      <c r="I88" s="168"/>
      <c r="J88" s="168"/>
    </row>
    <row r="89" spans="1:10" ht="12.75" x14ac:dyDescent="0.2">
      <c r="A89" s="100"/>
      <c r="B89" s="100"/>
      <c r="C89" s="100"/>
      <c r="D89" s="100"/>
      <c r="E89" s="100"/>
      <c r="F89" s="100"/>
      <c r="G89" s="100"/>
      <c r="H89" s="100"/>
      <c r="I89" s="100"/>
      <c r="J89" s="100"/>
    </row>
    <row r="90" spans="1:10" x14ac:dyDescent="0.2">
      <c r="A90" s="76" t="str">
        <f>A47</f>
        <v>Outfall #9 - Lt. Sta. 340+25</v>
      </c>
      <c r="B90" s="76"/>
      <c r="C90" s="76"/>
      <c r="D90" s="76"/>
      <c r="E90" s="76"/>
      <c r="F90" s="76"/>
      <c r="G90" s="76"/>
      <c r="H90" s="76"/>
      <c r="I90" s="76"/>
    </row>
    <row r="91" spans="1:10" s="88" customFormat="1" ht="13.5" customHeight="1" x14ac:dyDescent="0.2">
      <c r="A91" s="88" t="str">
        <f>A48</f>
        <v>Unnamed Tributary to Twelvemile Creek</v>
      </c>
      <c r="B91" s="75"/>
      <c r="C91" s="75"/>
      <c r="D91" s="75"/>
      <c r="E91" s="75"/>
      <c r="F91" s="75"/>
      <c r="G91" s="75"/>
      <c r="H91" s="75"/>
      <c r="I91" s="75"/>
    </row>
    <row r="92" spans="1:10" x14ac:dyDescent="0.2">
      <c r="B92" s="91"/>
      <c r="C92" s="90"/>
      <c r="D92" s="90"/>
      <c r="E92" s="90"/>
    </row>
    <row r="93" spans="1:10" s="76" customFormat="1" x14ac:dyDescent="0.2">
      <c r="A93" s="76" t="s">
        <v>24</v>
      </c>
      <c r="B93" s="75"/>
      <c r="C93" s="75"/>
      <c r="D93" s="75"/>
      <c r="E93" s="75"/>
      <c r="F93" s="75"/>
      <c r="G93" s="75"/>
      <c r="H93" s="75"/>
      <c r="I93" s="75"/>
    </row>
    <row r="95" spans="1:10" ht="55.5" customHeight="1" x14ac:dyDescent="0.2">
      <c r="A95" s="197" t="s">
        <v>425</v>
      </c>
      <c r="B95" s="198"/>
      <c r="C95" s="198"/>
      <c r="D95" s="198"/>
      <c r="E95" s="198"/>
      <c r="F95" s="198"/>
      <c r="G95" s="198"/>
      <c r="H95" s="198"/>
      <c r="I95" s="168"/>
      <c r="J95" s="168"/>
    </row>
    <row r="96" spans="1:10" x14ac:dyDescent="0.2">
      <c r="A96" s="83"/>
    </row>
    <row r="97" spans="1:35" s="92" customFormat="1" ht="12.75" customHeight="1" x14ac:dyDescent="0.2">
      <c r="A97" s="76" t="s">
        <v>92</v>
      </c>
      <c r="B97" s="75"/>
      <c r="C97" s="75"/>
      <c r="D97" s="75"/>
      <c r="E97" s="75"/>
      <c r="F97" s="75"/>
      <c r="G97" s="75"/>
      <c r="H97" s="75"/>
      <c r="I97" s="75"/>
    </row>
    <row r="98" spans="1:35" ht="12.75" customHeight="1" x14ac:dyDescent="0.2"/>
    <row r="99" spans="1:35" ht="12.75" customHeight="1" x14ac:dyDescent="0.2">
      <c r="A99" s="75" t="s">
        <v>1</v>
      </c>
      <c r="D99" s="111">
        <v>591.85</v>
      </c>
      <c r="E99" s="75" t="s">
        <v>114</v>
      </c>
    </row>
    <row r="100" spans="1:35" ht="12.75" customHeight="1" x14ac:dyDescent="0.2"/>
    <row r="101" spans="1:35" ht="12.75" customHeight="1" x14ac:dyDescent="0.2">
      <c r="A101" s="75" t="s">
        <v>113</v>
      </c>
      <c r="D101" s="124">
        <f>B107-B15</f>
        <v>3.5899999999999963</v>
      </c>
      <c r="E101" s="75" t="s">
        <v>117</v>
      </c>
    </row>
    <row r="102" spans="1:35" ht="12.75" customHeight="1" x14ac:dyDescent="0.2"/>
    <row r="103" spans="1:35" ht="12.75" customHeight="1" x14ac:dyDescent="0.2">
      <c r="A103" s="80" t="s">
        <v>93</v>
      </c>
      <c r="B103" s="83"/>
      <c r="C103" s="83"/>
    </row>
    <row r="104" spans="1:35" ht="12.75" customHeight="1" x14ac:dyDescent="0.2">
      <c r="A104" s="147" t="s">
        <v>367</v>
      </c>
    </row>
    <row r="105" spans="1:35" ht="12.75" customHeight="1" thickBot="1" x14ac:dyDescent="0.25">
      <c r="A105" s="147"/>
    </row>
    <row r="106" spans="1:35" ht="12.75" customHeight="1" x14ac:dyDescent="0.2">
      <c r="B106" s="51" t="s">
        <v>2</v>
      </c>
      <c r="C106" s="51"/>
      <c r="D106" s="51" t="s">
        <v>79</v>
      </c>
      <c r="E106" s="195" t="s">
        <v>6</v>
      </c>
      <c r="F106" s="195"/>
      <c r="W106" s="192" t="s">
        <v>368</v>
      </c>
      <c r="X106" s="193"/>
      <c r="Y106" s="193"/>
      <c r="Z106" s="193"/>
      <c r="AA106" s="193"/>
      <c r="AB106" s="193"/>
      <c r="AC106" s="193"/>
      <c r="AD106" s="193"/>
      <c r="AE106" s="193"/>
      <c r="AF106" s="193"/>
      <c r="AG106" s="193"/>
      <c r="AH106" s="193"/>
      <c r="AI106" s="194"/>
    </row>
    <row r="107" spans="1:35" ht="12.75" customHeight="1" x14ac:dyDescent="0.2">
      <c r="B107" s="111">
        <v>43.48</v>
      </c>
      <c r="C107" s="142" t="s">
        <v>231</v>
      </c>
      <c r="D107" s="79">
        <f>IF(ISBLANK(E15),0,IF(C107='Curve Numbers'!$C$4,VLOOKUP(E15,'Curve Numbers'!$A$5:$F$93,3,FALSE),IF(C107='Curve Numbers'!$D$4,VLOOKUP(E15,'Curve Numbers'!$A$5:$F$93,4,FALSE),IF(C107='Curve Numbers'!$E$4,VLOOKUP(E15,'Curve Numbers'!$A$5:$F$93,5,FALSE),IF(C107='Curve Numbers'!$F$4,VLOOKUP(E15,'Curve Numbers'!$A$5:$F$93,6,FALSE),"UPDATE")))))</f>
        <v>92</v>
      </c>
      <c r="E107" s="188" t="s">
        <v>241</v>
      </c>
      <c r="F107" s="188"/>
      <c r="G107" s="188"/>
      <c r="W107" s="189" t="str">
        <f>IF(ISBLANK(E107),"",VLOOKUP(E107,'Curve Numbers'!$A$5:$F$93,2,FALSE))</f>
        <v xml:space="preserve">Impervious Area  </v>
      </c>
      <c r="X107" s="190"/>
      <c r="Y107" s="190"/>
      <c r="Z107" s="190"/>
      <c r="AA107" s="190"/>
      <c r="AB107" s="190"/>
      <c r="AC107" s="190"/>
      <c r="AD107" s="190"/>
      <c r="AE107" s="190"/>
      <c r="AF107" s="190"/>
      <c r="AG107" s="190"/>
      <c r="AH107" s="190"/>
      <c r="AI107" s="191"/>
    </row>
    <row r="108" spans="1:35" ht="12.75" customHeight="1" x14ac:dyDescent="0.2">
      <c r="B108" s="111">
        <v>81.3</v>
      </c>
      <c r="C108" s="175" t="s">
        <v>229</v>
      </c>
      <c r="D108" s="79">
        <f>IF(ISBLANK(E16),0,IF(C108='Curve Numbers'!$C$4,VLOOKUP(E16,'Curve Numbers'!$A$5:$F$93,3,FALSE),IF(C108='Curve Numbers'!$D$4,VLOOKUP(E16,'Curve Numbers'!$A$5:$F$93,4,FALSE),IF(C108='Curve Numbers'!$E$4,VLOOKUP(E16,'Curve Numbers'!$A$5:$F$93,5,FALSE),IF(C108='Curve Numbers'!$F$4,VLOOKUP(E16,'Curve Numbers'!$A$5:$F$93,6,FALSE),"UPDATE")))))</f>
        <v>30</v>
      </c>
      <c r="E108" s="188" t="s">
        <v>320</v>
      </c>
      <c r="F108" s="188"/>
      <c r="G108" s="188"/>
      <c r="W108" s="189" t="str">
        <f>IF(ISBLANK(E108),"",VLOOKUP(E108,'Curve Numbers'!$A$5:$F$93,2,FALSE))</f>
        <v>Woods are protected from grazing, and litter and brush adequately cover the soil.</v>
      </c>
      <c r="X108" s="190"/>
      <c r="Y108" s="190"/>
      <c r="Z108" s="190"/>
      <c r="AA108" s="190"/>
      <c r="AB108" s="190"/>
      <c r="AC108" s="190"/>
      <c r="AD108" s="190"/>
      <c r="AE108" s="190"/>
      <c r="AF108" s="190"/>
      <c r="AG108" s="190"/>
      <c r="AH108" s="190"/>
      <c r="AI108" s="191"/>
    </row>
    <row r="109" spans="1:35" ht="12.75" customHeight="1" x14ac:dyDescent="0.2">
      <c r="B109" s="111">
        <v>248.17</v>
      </c>
      <c r="C109" s="175" t="s">
        <v>231</v>
      </c>
      <c r="D109" s="79">
        <f>IF(ISBLANK(E17),0,IF(C109='Curve Numbers'!$C$4,VLOOKUP(E17,'Curve Numbers'!$A$5:$F$93,3,FALSE),IF(C109='Curve Numbers'!$D$4,VLOOKUP(E17,'Curve Numbers'!$A$5:$F$93,4,FALSE),IF(C109='Curve Numbers'!$E$4,VLOOKUP(E17,'Curve Numbers'!$A$5:$F$93,5,FALSE),IF(C109='Curve Numbers'!$F$4,VLOOKUP(E17,'Curve Numbers'!$A$5:$F$93,6,FALSE),"UPDATE")))))</f>
        <v>70</v>
      </c>
      <c r="E109" s="188" t="s">
        <v>320</v>
      </c>
      <c r="F109" s="188"/>
      <c r="G109" s="188"/>
      <c r="W109" s="189" t="str">
        <f>IF(ISBLANK(E109),"",VLOOKUP(E109,'Curve Numbers'!$A$5:$F$93,2,FALSE))</f>
        <v>Woods are protected from grazing, and litter and brush adequately cover the soil.</v>
      </c>
      <c r="X109" s="190"/>
      <c r="Y109" s="190"/>
      <c r="Z109" s="190"/>
      <c r="AA109" s="190"/>
      <c r="AB109" s="190"/>
      <c r="AC109" s="190"/>
      <c r="AD109" s="190"/>
      <c r="AE109" s="190"/>
      <c r="AF109" s="190"/>
      <c r="AG109" s="190"/>
      <c r="AH109" s="190"/>
      <c r="AI109" s="191"/>
    </row>
    <row r="110" spans="1:35" ht="12.75" customHeight="1" x14ac:dyDescent="0.2">
      <c r="B110" s="111">
        <v>48.2</v>
      </c>
      <c r="C110" s="175" t="s">
        <v>229</v>
      </c>
      <c r="D110" s="79">
        <f>IF(ISBLANK(E18),0,IF(C110='Curve Numbers'!$C$4,VLOOKUP(E18,'Curve Numbers'!$A$5:$F$93,3,FALSE),IF(C110='Curve Numbers'!$D$4,VLOOKUP(E18,'Curve Numbers'!$A$5:$F$93,4,FALSE),IF(C110='Curve Numbers'!$E$4,VLOOKUP(E18,'Curve Numbers'!$A$5:$F$93,5,FALSE),IF(C110='Curve Numbers'!$F$4,VLOOKUP(E18,'Curve Numbers'!$A$5:$F$93,6,FALSE),"UPDATE")))))</f>
        <v>54</v>
      </c>
      <c r="E110" s="188" t="s">
        <v>259</v>
      </c>
      <c r="F110" s="188"/>
      <c r="G110" s="188"/>
      <c r="W110" s="189" t="str">
        <f>IF(ISBLANK(E110),"",VLOOKUP(E110,'Curve Numbers'!$A$5:$F$93,2,FALSE))</f>
        <v>Average Impervious Area = 25%</v>
      </c>
      <c r="X110" s="190"/>
      <c r="Y110" s="190"/>
      <c r="Z110" s="190"/>
      <c r="AA110" s="190"/>
      <c r="AB110" s="190"/>
      <c r="AC110" s="190"/>
      <c r="AD110" s="190"/>
      <c r="AE110" s="190"/>
      <c r="AF110" s="190"/>
      <c r="AG110" s="190"/>
      <c r="AH110" s="190"/>
      <c r="AI110" s="191"/>
    </row>
    <row r="111" spans="1:35" ht="12.75" customHeight="1" x14ac:dyDescent="0.2">
      <c r="B111" s="111">
        <v>38.049999999999997</v>
      </c>
      <c r="C111" s="175" t="s">
        <v>231</v>
      </c>
      <c r="D111" s="79">
        <f>IF(ISBLANK(E19),0,IF(C111='Curve Numbers'!$C$4,VLOOKUP(E19,'Curve Numbers'!$A$5:$F$93,3,FALSE),IF(C111='Curve Numbers'!$D$4,VLOOKUP(E19,'Curve Numbers'!$A$5:$F$93,4,FALSE),IF(C111='Curve Numbers'!$E$4,VLOOKUP(E19,'Curve Numbers'!$A$5:$F$93,5,FALSE),IF(C111='Curve Numbers'!$F$4,VLOOKUP(E19,'Curve Numbers'!$A$5:$F$93,6,FALSE),"UPDATE")))))</f>
        <v>80</v>
      </c>
      <c r="E111" s="188" t="s">
        <v>259</v>
      </c>
      <c r="F111" s="188"/>
      <c r="G111" s="188"/>
      <c r="W111" s="189" t="str">
        <f>IF(ISBLANK(E111),"",VLOOKUP(E111,'Curve Numbers'!$A$5:$F$93,2,FALSE))</f>
        <v>Average Impervious Area = 25%</v>
      </c>
      <c r="X111" s="190"/>
      <c r="Y111" s="190"/>
      <c r="Z111" s="190"/>
      <c r="AA111" s="190"/>
      <c r="AB111" s="190"/>
      <c r="AC111" s="190"/>
      <c r="AD111" s="190"/>
      <c r="AE111" s="190"/>
      <c r="AF111" s="190"/>
      <c r="AG111" s="190"/>
      <c r="AH111" s="190"/>
      <c r="AI111" s="191"/>
    </row>
    <row r="112" spans="1:35" ht="12.75" customHeight="1" x14ac:dyDescent="0.2">
      <c r="B112" s="111">
        <v>22.15</v>
      </c>
      <c r="C112" s="175" t="s">
        <v>229</v>
      </c>
      <c r="D112" s="79">
        <f>IF(ISBLANK(E20),0,IF(C112='Curve Numbers'!$C$4,VLOOKUP(E20,'Curve Numbers'!$A$5:$F$93,3,FALSE),IF(C112='Curve Numbers'!$D$4,VLOOKUP(E20,'Curve Numbers'!$A$5:$F$93,4,FALSE),IF(C112='Curve Numbers'!$E$4,VLOOKUP(E20,'Curve Numbers'!$A$5:$F$93,5,FALSE),IF(C112='Curve Numbers'!$F$4,VLOOKUP(E20,'Curve Numbers'!$A$5:$F$93,6,FALSE),"UPDATE")))))</f>
        <v>89</v>
      </c>
      <c r="E112" s="188" t="s">
        <v>248</v>
      </c>
      <c r="F112" s="188"/>
      <c r="G112" s="188"/>
      <c r="W112" s="189" t="str">
        <f>IF(ISBLANK(E112),"",VLOOKUP(E112,'Curve Numbers'!$A$5:$F$93,2,FALSE))</f>
        <v>Average Impervious Area = 85%</v>
      </c>
      <c r="X112" s="190"/>
      <c r="Y112" s="190"/>
      <c r="Z112" s="190"/>
      <c r="AA112" s="190"/>
      <c r="AB112" s="190"/>
      <c r="AC112" s="190"/>
      <c r="AD112" s="190"/>
      <c r="AE112" s="190"/>
      <c r="AF112" s="190"/>
      <c r="AG112" s="190"/>
      <c r="AH112" s="190"/>
      <c r="AI112" s="191"/>
    </row>
    <row r="113" spans="1:35" x14ac:dyDescent="0.2">
      <c r="B113" s="111">
        <v>3.87</v>
      </c>
      <c r="C113" s="175" t="s">
        <v>231</v>
      </c>
      <c r="D113" s="79">
        <f>IF(ISBLANK(E21),0,IF(C113='Curve Numbers'!$C$4,VLOOKUP(E21,'Curve Numbers'!$A$5:$F$93,3,FALSE),IF(C113='Curve Numbers'!$D$4,VLOOKUP(E21,'Curve Numbers'!$A$5:$F$93,4,FALSE),IF(C113='Curve Numbers'!$E$4,VLOOKUP(E21,'Curve Numbers'!$A$5:$F$93,5,FALSE),IF(C113='Curve Numbers'!$F$4,VLOOKUP(E21,'Curve Numbers'!$A$5:$F$93,6,FALSE),"UPDATE")))))</f>
        <v>94</v>
      </c>
      <c r="E113" s="188" t="s">
        <v>248</v>
      </c>
      <c r="F113" s="188"/>
      <c r="G113" s="188"/>
      <c r="W113" s="189" t="str">
        <f>IF(ISBLANK(E113),"",VLOOKUP(E113,'Curve Numbers'!$A$5:$F$93,2,FALSE))</f>
        <v>Average Impervious Area = 85%</v>
      </c>
      <c r="X113" s="190"/>
      <c r="Y113" s="190"/>
      <c r="Z113" s="190"/>
      <c r="AA113" s="190"/>
      <c r="AB113" s="190"/>
      <c r="AC113" s="190"/>
      <c r="AD113" s="190"/>
      <c r="AE113" s="190"/>
      <c r="AF113" s="190"/>
      <c r="AG113" s="190"/>
      <c r="AH113" s="190"/>
      <c r="AI113" s="191"/>
    </row>
    <row r="114" spans="1:35" ht="12.75" thickBot="1" x14ac:dyDescent="0.25">
      <c r="B114" s="111">
        <v>54.05</v>
      </c>
      <c r="C114" s="175" t="s">
        <v>229</v>
      </c>
      <c r="D114" s="79">
        <f>IF(ISBLANK(E22),0,IF(C114='Curve Numbers'!$C$4,VLOOKUP(E22,'Curve Numbers'!$A$5:$F$93,3,FALSE),IF(C114='Curve Numbers'!$D$4,VLOOKUP(E22,'Curve Numbers'!$A$5:$F$93,4,FALSE),IF(C114='Curve Numbers'!$E$4,VLOOKUP(E22,'Curve Numbers'!$A$5:$F$93,5,FALSE),IF(C114='Curve Numbers'!$F$4,VLOOKUP(E22,'Curve Numbers'!$A$5:$F$93,6,FALSE),"UPDATE")))))</f>
        <v>39</v>
      </c>
      <c r="E114" s="188" t="s">
        <v>237</v>
      </c>
      <c r="F114" s="188"/>
      <c r="G114" s="188"/>
      <c r="W114" s="185" t="str">
        <f>IF(ISBLANK(E114),"",VLOOKUP(E114,'Curve Numbers'!$A$5:$F$93,2,FALSE))</f>
        <v>Grass Cover &gt; 75%</v>
      </c>
      <c r="X114" s="186"/>
      <c r="Y114" s="186"/>
      <c r="Z114" s="186"/>
      <c r="AA114" s="186"/>
      <c r="AB114" s="186"/>
      <c r="AC114" s="186"/>
      <c r="AD114" s="186"/>
      <c r="AE114" s="186"/>
      <c r="AF114" s="186"/>
      <c r="AG114" s="186"/>
      <c r="AH114" s="186"/>
      <c r="AI114" s="187"/>
    </row>
    <row r="115" spans="1:35" ht="12.75" thickBot="1" x14ac:dyDescent="0.25">
      <c r="B115" s="111">
        <v>52.58</v>
      </c>
      <c r="C115" s="175" t="s">
        <v>231</v>
      </c>
      <c r="D115" s="79">
        <f>IF(ISBLANK(E23),0,IF(C115='Curve Numbers'!$C$4,VLOOKUP(E23,'Curve Numbers'!$A$5:$F$93,3,FALSE),IF(C115='Curve Numbers'!$D$4,VLOOKUP(E23,'Curve Numbers'!$A$5:$F$93,4,FALSE),IF(C115='Curve Numbers'!$E$4,VLOOKUP(E23,'Curve Numbers'!$A$5:$F$93,5,FALSE),IF(C115='Curve Numbers'!$F$4,VLOOKUP(E23,'Curve Numbers'!$A$5:$F$93,6,FALSE),"UPDATE")))))</f>
        <v>74</v>
      </c>
      <c r="E115" s="188" t="s">
        <v>237</v>
      </c>
      <c r="F115" s="188"/>
      <c r="G115" s="188"/>
      <c r="W115" s="185" t="str">
        <f>IF(ISBLANK(E115),"",VLOOKUP(E115,'Curve Numbers'!$A$5:$F$93,2,FALSE))</f>
        <v>Grass Cover &gt; 75%</v>
      </c>
      <c r="X115" s="186"/>
      <c r="Y115" s="186"/>
      <c r="Z115" s="186"/>
      <c r="AA115" s="186"/>
      <c r="AB115" s="186"/>
      <c r="AC115" s="186"/>
      <c r="AD115" s="186"/>
      <c r="AE115" s="186"/>
      <c r="AF115" s="186"/>
      <c r="AG115" s="186"/>
      <c r="AH115" s="186"/>
      <c r="AI115" s="187"/>
    </row>
    <row r="116" spans="1:35" x14ac:dyDescent="0.2">
      <c r="B116" s="79"/>
      <c r="C116" s="51"/>
      <c r="D116" s="79"/>
      <c r="E116" s="51"/>
      <c r="F116" s="51"/>
    </row>
    <row r="117" spans="1:35" x14ac:dyDescent="0.2">
      <c r="E117" s="75" t="s">
        <v>81</v>
      </c>
      <c r="G117" s="82">
        <f>((B107*D107)+(B108*D108)+(B109*D109)+(B115*D115)+(B113*D113)+(B110*D110)+(B111*D111)+(B112*D112)+(B114*D114))/(D99)</f>
        <v>63.853780518712497</v>
      </c>
    </row>
    <row r="119" spans="1:35" ht="13.5" x14ac:dyDescent="0.25">
      <c r="A119" s="83" t="s">
        <v>94</v>
      </c>
      <c r="B119" s="83"/>
      <c r="C119" s="83"/>
    </row>
    <row r="120" spans="1:35" ht="14.25" customHeight="1" x14ac:dyDescent="0.2"/>
    <row r="121" spans="1:35" ht="13.5" x14ac:dyDescent="0.25">
      <c r="B121" s="75" t="s">
        <v>95</v>
      </c>
      <c r="E121" s="84">
        <f>IF('tc-pre'!E1="Yes",'tc-pre'!D48,IF('tc-pre'!E1="No",'tc-post'!D47,"Update"))</f>
        <v>1.7038542878289411</v>
      </c>
      <c r="F121" s="75" t="s">
        <v>11</v>
      </c>
    </row>
    <row r="122" spans="1:35" x14ac:dyDescent="0.2">
      <c r="B122" s="75" t="str">
        <f>IF('tc-pre'!E1="Yes","Pre-Construction Tc = Post-Construction Tc",IF('tc-pre'!E1="No","See Time of Concentration Worksheet","Update"))</f>
        <v>See Time of Concentration Worksheet</v>
      </c>
    </row>
    <row r="124" spans="1:35" s="92" customFormat="1" ht="14.25" customHeight="1" x14ac:dyDescent="0.2">
      <c r="A124" s="83" t="s">
        <v>82</v>
      </c>
      <c r="B124" s="75"/>
      <c r="C124" s="75"/>
      <c r="D124" s="75"/>
      <c r="E124" s="75"/>
      <c r="F124" s="75"/>
      <c r="G124" s="75"/>
      <c r="H124" s="75"/>
      <c r="I124" s="75"/>
    </row>
    <row r="125" spans="1:35" x14ac:dyDescent="0.2">
      <c r="A125" s="90" t="str">
        <f>A33</f>
        <v>SCDHEC Rainfall for :</v>
      </c>
      <c r="B125" s="200" t="str">
        <f>B33</f>
        <v>Lexington, SC</v>
      </c>
      <c r="C125" s="200"/>
      <c r="D125" s="200"/>
    </row>
    <row r="126" spans="1:35" x14ac:dyDescent="0.2">
      <c r="A126" s="90"/>
    </row>
    <row r="127" spans="1:35" x14ac:dyDescent="0.2">
      <c r="A127" s="90"/>
      <c r="C127" s="85" t="s">
        <v>13</v>
      </c>
      <c r="D127" s="85"/>
      <c r="E127" s="85"/>
      <c r="F127" s="86" t="s">
        <v>83</v>
      </c>
    </row>
    <row r="128" spans="1:35" x14ac:dyDescent="0.2">
      <c r="C128" s="75">
        <v>2</v>
      </c>
      <c r="D128" s="75" t="s">
        <v>15</v>
      </c>
      <c r="F128" s="86">
        <f>F36</f>
        <v>3.6</v>
      </c>
    </row>
    <row r="129" spans="1:9" x14ac:dyDescent="0.2">
      <c r="C129" s="75">
        <v>10</v>
      </c>
      <c r="D129" s="75" t="s">
        <v>15</v>
      </c>
      <c r="F129" s="86">
        <f>F37</f>
        <v>5.3</v>
      </c>
    </row>
    <row r="130" spans="1:9" x14ac:dyDescent="0.2">
      <c r="C130" s="75">
        <v>25</v>
      </c>
      <c r="D130" s="75" t="s">
        <v>15</v>
      </c>
      <c r="F130" s="86">
        <f>F38</f>
        <v>6.4</v>
      </c>
    </row>
    <row r="131" spans="1:9" x14ac:dyDescent="0.2">
      <c r="C131" s="75">
        <v>50</v>
      </c>
      <c r="D131" s="75" t="s">
        <v>15</v>
      </c>
      <c r="F131" s="86">
        <f>F39</f>
        <v>7.3</v>
      </c>
    </row>
    <row r="132" spans="1:9" x14ac:dyDescent="0.2">
      <c r="C132" s="75">
        <v>100</v>
      </c>
      <c r="D132" s="75" t="s">
        <v>15</v>
      </c>
      <c r="F132" s="86">
        <f>F40</f>
        <v>8.3000000000000007</v>
      </c>
    </row>
    <row r="133" spans="1:9" s="92" customFormat="1" ht="14.25" customHeight="1" x14ac:dyDescent="0.2">
      <c r="A133" s="75"/>
      <c r="B133" s="75"/>
      <c r="C133" s="75"/>
      <c r="D133" s="75"/>
      <c r="E133" s="75"/>
      <c r="F133" s="75"/>
      <c r="G133" s="75"/>
      <c r="H133" s="75"/>
      <c r="I133" s="75"/>
    </row>
    <row r="134" spans="1:9" ht="13.5" x14ac:dyDescent="0.25">
      <c r="A134" s="83" t="s">
        <v>96</v>
      </c>
    </row>
    <row r="136" spans="1:9" x14ac:dyDescent="0.2">
      <c r="C136" s="75" t="s">
        <v>84</v>
      </c>
      <c r="E136" s="87">
        <f>1000/G117-10</f>
        <v>5.6607798610600302</v>
      </c>
      <c r="F136" s="75" t="s">
        <v>85</v>
      </c>
    </row>
    <row r="138" spans="1:9" ht="13.5" x14ac:dyDescent="0.25">
      <c r="C138" s="75" t="s">
        <v>97</v>
      </c>
      <c r="E138" s="87">
        <f>0.2*E136</f>
        <v>1.132155972212006</v>
      </c>
      <c r="F138" s="75" t="s">
        <v>85</v>
      </c>
    </row>
    <row r="139" spans="1:9" s="76" customFormat="1" x14ac:dyDescent="0.2">
      <c r="A139" s="76" t="str">
        <f>A2</f>
        <v>Outfall #9 - Lt. Sta. 340+25</v>
      </c>
    </row>
    <row r="140" spans="1:9" x14ac:dyDescent="0.2">
      <c r="A140" s="101" t="str">
        <f>A3</f>
        <v>Unnamed Tributary to Twelvemile Creek</v>
      </c>
      <c r="B140" s="77"/>
      <c r="C140" s="77"/>
      <c r="D140" s="77"/>
      <c r="E140" s="77"/>
      <c r="F140" s="77"/>
    </row>
    <row r="142" spans="1:9" x14ac:dyDescent="0.2">
      <c r="A142" s="88" t="s">
        <v>23</v>
      </c>
    </row>
    <row r="143" spans="1:9" x14ac:dyDescent="0.2">
      <c r="A143" s="102"/>
      <c r="B143" s="102"/>
      <c r="C143" s="102"/>
      <c r="D143" s="102"/>
      <c r="E143" s="102"/>
      <c r="F143" s="102"/>
      <c r="G143" s="102"/>
      <c r="H143" s="102"/>
      <c r="I143" s="102"/>
    </row>
    <row r="144" spans="1:9" x14ac:dyDescent="0.2">
      <c r="A144" s="83" t="s">
        <v>86</v>
      </c>
    </row>
    <row r="145" spans="1:22" x14ac:dyDescent="0.2">
      <c r="A145" s="83"/>
    </row>
    <row r="146" spans="1:22" ht="13.5" x14ac:dyDescent="0.2">
      <c r="A146" s="83"/>
      <c r="B146" s="75" t="s">
        <v>98</v>
      </c>
    </row>
    <row r="148" spans="1:22" ht="24" x14ac:dyDescent="0.2">
      <c r="B148" s="89" t="s">
        <v>13</v>
      </c>
      <c r="C148" s="90" t="s">
        <v>87</v>
      </c>
      <c r="D148" s="90" t="s">
        <v>88</v>
      </c>
      <c r="E148" s="90" t="s">
        <v>22</v>
      </c>
      <c r="F148" s="90" t="s">
        <v>32</v>
      </c>
      <c r="H148" s="90"/>
    </row>
    <row r="149" spans="1:22" x14ac:dyDescent="0.2">
      <c r="B149" s="90">
        <v>2</v>
      </c>
      <c r="C149" s="86">
        <f>F128</f>
        <v>3.6</v>
      </c>
      <c r="D149" s="86">
        <f>$E$136</f>
        <v>5.6607798610600302</v>
      </c>
      <c r="E149" s="90" t="s">
        <v>22</v>
      </c>
      <c r="F149" s="91">
        <f>((C149-0.2*D149)^2)/(C149+0.8*D149)</f>
        <v>0.74923556911574252</v>
      </c>
      <c r="G149" s="75" t="s">
        <v>85</v>
      </c>
      <c r="H149" s="82"/>
    </row>
    <row r="150" spans="1:22" x14ac:dyDescent="0.2">
      <c r="B150" s="90">
        <v>10</v>
      </c>
      <c r="C150" s="86">
        <f>F129</f>
        <v>5.3</v>
      </c>
      <c r="D150" s="86">
        <f>$E$136</f>
        <v>5.6607798610600302</v>
      </c>
      <c r="E150" s="90" t="s">
        <v>22</v>
      </c>
      <c r="F150" s="91">
        <f>((C150-0.2*D150)^2)/(C150+0.8*D150)</f>
        <v>1.7673810735272755</v>
      </c>
      <c r="G150" s="75" t="s">
        <v>85</v>
      </c>
      <c r="H150" s="82"/>
    </row>
    <row r="151" spans="1:22" x14ac:dyDescent="0.2">
      <c r="B151" s="90">
        <v>25</v>
      </c>
      <c r="C151" s="86">
        <f>F130</f>
        <v>6.4</v>
      </c>
      <c r="D151" s="86">
        <f>$E$136</f>
        <v>5.6607798610600302</v>
      </c>
      <c r="E151" s="90" t="s">
        <v>22</v>
      </c>
      <c r="F151" s="91">
        <f>(C151-0.2*D151)^2/(C151+0.8*D151)</f>
        <v>2.5392200320315679</v>
      </c>
      <c r="G151" s="75" t="s">
        <v>85</v>
      </c>
      <c r="H151" s="82"/>
    </row>
    <row r="152" spans="1:22" x14ac:dyDescent="0.2">
      <c r="B152" s="90">
        <v>50</v>
      </c>
      <c r="C152" s="86">
        <f>F131</f>
        <v>7.3</v>
      </c>
      <c r="D152" s="86">
        <f>$E$136</f>
        <v>5.6607798610600302</v>
      </c>
      <c r="E152" s="90" t="s">
        <v>22</v>
      </c>
      <c r="F152" s="91">
        <f>(C152-0.2*D152)^2/(C152+0.8*D152)</f>
        <v>3.2161222056427152</v>
      </c>
      <c r="G152" s="75" t="s">
        <v>85</v>
      </c>
      <c r="H152" s="82"/>
    </row>
    <row r="153" spans="1:22" x14ac:dyDescent="0.2">
      <c r="B153" s="90">
        <v>100</v>
      </c>
      <c r="C153" s="86">
        <f>F132</f>
        <v>8.3000000000000007</v>
      </c>
      <c r="D153" s="86">
        <f>$E$136</f>
        <v>5.6607798610600302</v>
      </c>
      <c r="E153" s="90" t="s">
        <v>22</v>
      </c>
      <c r="F153" s="91">
        <f>(C153-0.2*D153)^2/(C153+0.8*D153)</f>
        <v>4.004949279973756</v>
      </c>
      <c r="G153" s="75" t="s">
        <v>85</v>
      </c>
      <c r="H153" s="82"/>
    </row>
    <row r="155" spans="1:22" ht="13.5" x14ac:dyDescent="0.25">
      <c r="A155" s="80" t="s">
        <v>136</v>
      </c>
    </row>
    <row r="156" spans="1:22" x14ac:dyDescent="0.2">
      <c r="A156" s="92" t="str">
        <f>A64</f>
        <v>Rainfall Distribution Type II</v>
      </c>
      <c r="B156" s="92"/>
      <c r="C156" s="92"/>
      <c r="D156" s="92"/>
      <c r="E156" s="92"/>
      <c r="F156" s="92"/>
      <c r="G156" s="92"/>
      <c r="H156" s="92"/>
      <c r="I156" s="92"/>
    </row>
    <row r="157" spans="1:22" x14ac:dyDescent="0.2">
      <c r="A157" s="92"/>
      <c r="B157" s="92"/>
      <c r="C157" s="92"/>
      <c r="D157" s="92"/>
      <c r="E157" s="92"/>
      <c r="F157" s="92"/>
      <c r="G157" s="92"/>
      <c r="H157" s="92"/>
      <c r="I157" s="92"/>
      <c r="K157" s="196" t="s">
        <v>132</v>
      </c>
      <c r="L157" s="196"/>
      <c r="M157" s="196"/>
      <c r="N157" s="196" t="s">
        <v>133</v>
      </c>
      <c r="O157" s="196"/>
      <c r="P157" s="196"/>
      <c r="Q157" s="196" t="s">
        <v>134</v>
      </c>
      <c r="R157" s="196"/>
      <c r="S157" s="196"/>
      <c r="T157" s="196" t="s">
        <v>135</v>
      </c>
      <c r="U157" s="196"/>
      <c r="V157" s="196"/>
    </row>
    <row r="158" spans="1:22" ht="26.25" x14ac:dyDescent="0.25">
      <c r="B158" s="89" t="s">
        <v>13</v>
      </c>
      <c r="C158" s="90" t="s">
        <v>87</v>
      </c>
      <c r="D158" s="90" t="s">
        <v>99</v>
      </c>
      <c r="E158" s="89" t="s">
        <v>108</v>
      </c>
      <c r="F158" s="90" t="s">
        <v>101</v>
      </c>
      <c r="H158" s="90"/>
      <c r="K158" s="93" t="s">
        <v>125</v>
      </c>
      <c r="L158" s="93" t="s">
        <v>126</v>
      </c>
      <c r="M158" s="93" t="s">
        <v>127</v>
      </c>
      <c r="N158" s="93" t="s">
        <v>125</v>
      </c>
      <c r="O158" s="93" t="s">
        <v>126</v>
      </c>
      <c r="P158" s="93" t="s">
        <v>127</v>
      </c>
      <c r="Q158" s="93" t="s">
        <v>125</v>
      </c>
      <c r="R158" s="93" t="s">
        <v>126</v>
      </c>
      <c r="S158" s="93" t="s">
        <v>127</v>
      </c>
      <c r="T158" s="93" t="s">
        <v>125</v>
      </c>
      <c r="U158" s="93" t="s">
        <v>126</v>
      </c>
      <c r="V158" s="93" t="s">
        <v>127</v>
      </c>
    </row>
    <row r="159" spans="1:22" ht="12.75" x14ac:dyDescent="0.2">
      <c r="A159" s="76"/>
      <c r="B159" s="90">
        <v>2</v>
      </c>
      <c r="C159" s="86">
        <f>F128</f>
        <v>3.6</v>
      </c>
      <c r="D159" s="86">
        <f>$E$138</f>
        <v>1.132155972212006</v>
      </c>
      <c r="E159" s="86">
        <f>IF(D159/C159&gt;0.5,0.5,D159/C159)</f>
        <v>0.31448777005889056</v>
      </c>
      <c r="F159" s="91">
        <f>IF($A$64='Rainfall Distribution Coef.'!$K$2,10^(K159+(L159*LOG($E$121))+(M159*(LOG($E$121))^2)),IF($A$64='Rainfall Distribution Coef.'!$K$3,10^(N159+(O159*LOG($E$121))+(P159*(LOG($E$121))^2)),IF($A$64='Rainfall Distribution Coef.'!$K$4,10^(Q159+(R159*LOG($E$121))+(S159*(LOG($E$121))^2)),IF($A$64='Rainfall Distribution Coef.'!$K$5,10^(T159+(U159*LOG($E$121))+(V159*(LOG($E$121))^2)),"UPDATE"))))</f>
        <v>200.65284659229727</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2.076334345044438</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-0.44267664893798103</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-1.4389584771253044E-2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1.7198766502327925</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-0.19049020891741697</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2.4422685071747056E-2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2.4518869396013967</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-0.62064892169019115</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-0.10834963926858548</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2.3842522532971091</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-0.50776928826472156</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-0.12879908194515957</v>
      </c>
    </row>
    <row r="160" spans="1:22" ht="12.75" x14ac:dyDescent="0.2">
      <c r="B160" s="90">
        <v>10</v>
      </c>
      <c r="C160" s="86">
        <f>F129</f>
        <v>5.3</v>
      </c>
      <c r="D160" s="86">
        <f>$E$138</f>
        <v>1.132155972212006</v>
      </c>
      <c r="E160" s="86">
        <f>IF(D160/C160&gt;0.5,0.5,D160/C160)</f>
        <v>0.21361433437962379</v>
      </c>
      <c r="F160" s="91">
        <f>IF($A$64='Rainfall Distribution Coef.'!$K$2,10^(K160+(L160*LOG($E$121))+(M160*(LOG($E$121))^2)),IF($A$64='Rainfall Distribution Coef.'!$K$3,10^(N160+(O160*LOG($E$121))+(P160*(LOG($E$121))^2)),IF($A$64='Rainfall Distribution Coef.'!$K$4,10^(Q160+(R160*LOG($E$121))+(S160*(LOG($E$121))^2)),IF($A$64='Rainfall Distribution Coef.'!$K$5,10^(T160+(U160*LOG($E$121))+(V160*(LOG($E$121))^2)),"UPDATE"))))</f>
        <v>225.22213425851706</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2.2208897939538321</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-0.49869927580261891</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-8.2918491510336062E-2</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1.8976267550974761</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-0.27487449970752903</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-5.81567598077848E-2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2.5032908193234364</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-0.61935213395564093</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-0.13706931845171527</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2.4294909691477535</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-0.5148102569995382</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-0.1490274092325502</v>
      </c>
    </row>
    <row r="161" spans="1:22" ht="12.75" x14ac:dyDescent="0.2">
      <c r="A161" s="92"/>
      <c r="B161" s="90">
        <v>25</v>
      </c>
      <c r="C161" s="86">
        <f>F130</f>
        <v>6.4</v>
      </c>
      <c r="D161" s="86">
        <f>$E$138</f>
        <v>1.132155972212006</v>
      </c>
      <c r="E161" s="86">
        <f>IF(D161/C161&gt;0.5,0.5,D161/C161)</f>
        <v>0.17689937065812594</v>
      </c>
      <c r="F161" s="91">
        <f>IF($A$64='Rainfall Distribution Coef.'!$K$2,10^(K161+(L161*LOG($E$121))+(M161*(LOG($E$121))^2)),IF($A$64='Rainfall Distribution Coef.'!$K$3,10^(N161+(O161*LOG($E$121))+(P161*(LOG($E$121))^2)),IF($A$64='Rainfall Distribution Coef.'!$K$4,10^(Q161+(R161*LOG($E$121))+(S161*(LOG($E$121))^2)),IF($A$64='Rainfall Distribution Coef.'!$K$5,10^(T161+(U161*LOG($E$121))+(V161*(LOG($E$121))^2)),"UPDATE"))))</f>
        <v>233.6678693281572</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2.2515704713574562</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-0.50627708557742335</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-9.5806687537342672E-2</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1.9458190293941606</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-0.28993029196234321</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-8.574210342121287E-2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2.519428881627221</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-0.61798450155701512</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-0.14578177934282671</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2.4436060369504835</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-0.5159961503277426</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-0.15607301077070565</v>
      </c>
    </row>
    <row r="162" spans="1:22" ht="12.75" x14ac:dyDescent="0.2">
      <c r="B162" s="90">
        <v>50</v>
      </c>
      <c r="C162" s="86">
        <f>F131</f>
        <v>7.3</v>
      </c>
      <c r="D162" s="86">
        <f>$E$138</f>
        <v>1.132155972212006</v>
      </c>
      <c r="E162" s="86">
        <f>IF(D162/C162&gt;0.5,0.5,D162/C162)</f>
        <v>0.15508985920712412</v>
      </c>
      <c r="F162" s="91">
        <f>IF($A$64='Rainfall Distribution Coef.'!$K$2,10^(K162+(L162*LOG($E$121))+(M162*(LOG($E$121))^2)),IF($A$64='Rainfall Distribution Coef.'!$K$3,10^(N162+(O162*LOG($E$121))+(P162*(LOG($E$121))^2)),IF($A$64='Rainfall Distribution Coef.'!$K$4,10^(Q162+(R162*LOG($E$121))+(S162*(LOG($E$121))^2)),IF($A$64='Rainfall Distribution Coef.'!$K$5,10^(T162+(U162*LOG($E$121))+(V162*(LOG($E$121))^2)),"UPDATE"))))</f>
        <v>238.83401890582789</v>
      </c>
      <c r="G162" s="75" t="s">
        <v>89</v>
      </c>
      <c r="H162" s="82"/>
      <c r="K162" s="94">
        <f>(IF('Rainfall Distribution Coef.'!$B$7&gt;$E162,'Rainfall Distribution Coef.'!C$7,IF(AND($E162&gt;'Rainfall Distribution Coef.'!$B$7,$E162&lt;'Rainfall Distribution Coef.'!$B$8),'Rainfall Distribution Coef.'!C$7+('Rainfall Distribution Coef.'!C$8-'Rainfall Distribution Coef.'!C$7)*(($E162-'Rainfall Distribution Coef.'!$B$7)/('Rainfall Distribution Coef.'!$B$8-'Rainfall Distribution Coef.'!$B$7)),IF(AND($E162&gt;'Rainfall Distribution Coef.'!$B$8,$E162&lt;'Rainfall Distribution Coef.'!$B$9),'Rainfall Distribution Coef.'!C$8+('Rainfall Distribution Coef.'!C$9-'Rainfall Distribution Coef.'!C$8)*(($E162-'Rainfall Distribution Coef.'!$B$8)/('Rainfall Distribution Coef.'!$B$9-'Rainfall Distribution Coef.'!$B$8)),IF(AND($E162&gt;'Rainfall Distribution Coef.'!$B$9,$E162&lt;'Rainfall Distribution Coef.'!$B$10),'Rainfall Distribution Coef.'!C$9+('Rainfall Distribution Coef.'!C$10-'Rainfall Distribution Coef.'!C$9)*(($E162-'Rainfall Distribution Coef.'!$B$9)/('Rainfall Distribution Coef.'!$B$10-'Rainfall Distribution Coef.'!$B$9)),IF(AND($E162&gt;'Rainfall Distribution Coef.'!$B$10,$E162&lt;'Rainfall Distribution Coef.'!$B$11),'Rainfall Distribution Coef.'!C$10+('Rainfall Distribution Coef.'!C$11-'Rainfall Distribution Coef.'!C$10)*(($E162-'Rainfall Distribution Coef.'!$B$10)/('Rainfall Distribution Coef.'!$B$11-'Rainfall Distribution Coef.'!$B$10)),IF(AND($E162&gt;'Rainfall Distribution Coef.'!$B$11,$E162&lt;'Rainfall Distribution Coef.'!$B$12),'Rainfall Distribution Coef.'!C$11+('Rainfall Distribution Coef.'!C$12-'Rainfall Distribution Coef.'!C$11)*(($E162-'Rainfall Distribution Coef.'!$B$11)/('Rainfall Distribution Coef.'!$B$12-'Rainfall Distribution Coef.'!$B$11)),IF(AND($E162&gt;'Rainfall Distribution Coef.'!$B$12,$E162&lt;'Rainfall Distribution Coef.'!$B$13),'Rainfall Distribution Coef.'!C$12+('Rainfall Distribution Coef.'!C$13-'Rainfall Distribution Coef.'!C$12)*(($E162-'Rainfall Distribution Coef.'!$B$12)/('Rainfall Distribution Coef.'!$B$13-'Rainfall Distribution Coef.'!$B$12)),0))))))))+IF(AND($E162&gt;'Rainfall Distribution Coef.'!$B$13,$E162&lt;'Rainfall Distribution Coef.'!$B$14),'Rainfall Distribution Coef.'!C$13+('Rainfall Distribution Coef.'!C$14-'Rainfall Distribution Coef.'!C$13)*(($E162-'Rainfall Distribution Coef.'!$B$13)/('Rainfall Distribution Coef.'!$B$14-'Rainfall Distribution Coef.'!$B$13)),IF($E162='Rainfall Distribution Coef.'!$B$14,'Rainfall Distribution Coef.'!C$14,0))</f>
        <v>2.2668654817380438</v>
      </c>
      <c r="L162" s="94">
        <f>(IF('Rainfall Distribution Coef.'!$B$7&gt;$E162,'Rainfall Distribution Coef.'!D$7,IF(AND($E162&gt;'Rainfall Distribution Coef.'!$B$7,$E162&lt;'Rainfall Distribution Coef.'!$B$8),'Rainfall Distribution Coef.'!D$7+('Rainfall Distribution Coef.'!D$8-'Rainfall Distribution Coef.'!D$7)*(($E162-'Rainfall Distribution Coef.'!$B$7)/('Rainfall Distribution Coef.'!$B$8-'Rainfall Distribution Coef.'!$B$7)),IF(AND($E162&gt;'Rainfall Distribution Coef.'!$B$8,$E162&lt;'Rainfall Distribution Coef.'!$B$9),'Rainfall Distribution Coef.'!D$8+('Rainfall Distribution Coef.'!D$9-'Rainfall Distribution Coef.'!D$8)*(($E162-'Rainfall Distribution Coef.'!$B$8)/('Rainfall Distribution Coef.'!$B$9-'Rainfall Distribution Coef.'!$B$8)),IF(AND($E162&gt;'Rainfall Distribution Coef.'!$B$9,$E162&lt;'Rainfall Distribution Coef.'!$B$10),'Rainfall Distribution Coef.'!D$9+('Rainfall Distribution Coef.'!D$10-'Rainfall Distribution Coef.'!D$9)*(($E162-'Rainfall Distribution Coef.'!$B$9)/('Rainfall Distribution Coef.'!$B$10-'Rainfall Distribution Coef.'!$B$9)),IF(AND($E162&gt;'Rainfall Distribution Coef.'!$B$10,$E162&lt;'Rainfall Distribution Coef.'!$B$11),'Rainfall Distribution Coef.'!D$10+('Rainfall Distribution Coef.'!D$11-'Rainfall Distribution Coef.'!D$10)*(($E162-'Rainfall Distribution Coef.'!$B$10)/('Rainfall Distribution Coef.'!$B$11-'Rainfall Distribution Coef.'!$B$10)),IF(AND($E162&gt;'Rainfall Distribution Coef.'!$B$11,$E162&lt;'Rainfall Distribution Coef.'!$B$12),'Rainfall Distribution Coef.'!D$11+('Rainfall Distribution Coef.'!D$12-'Rainfall Distribution Coef.'!D$11)*(($E162-'Rainfall Distribution Coef.'!$B$11)/('Rainfall Distribution Coef.'!$B$12-'Rainfall Distribution Coef.'!$B$11)),IF(AND($E162&gt;'Rainfall Distribution Coef.'!$B$12,$E162&lt;'Rainfall Distribution Coef.'!$B$13),'Rainfall Distribution Coef.'!D$12+('Rainfall Distribution Coef.'!D$13-'Rainfall Distribution Coef.'!D$12)*(($E162-'Rainfall Distribution Coef.'!$B$12)/('Rainfall Distribution Coef.'!$B$13-'Rainfall Distribution Coef.'!$B$12)),0))))))))+IF(AND($E162&gt;'Rainfall Distribution Coef.'!$B$13,$E162&lt;'Rainfall Distribution Coef.'!$B$14),'Rainfall Distribution Coef.'!D$13+('Rainfall Distribution Coef.'!D$14-'Rainfall Distribution Coef.'!D$13)*(($E162-'Rainfall Distribution Coef.'!$B$13)/('Rainfall Distribution Coef.'!$B$14-'Rainfall Distribution Coef.'!$B$13)),IF($E162='Rainfall Distribution Coef.'!$B$14,'Rainfall Distribution Coef.'!D$14,0))</f>
        <v>-0.5085496366706177</v>
      </c>
      <c r="M162" s="94">
        <f>(IF('Rainfall Distribution Coef.'!$B$7&gt;$E162,'Rainfall Distribution Coef.'!E$7,IF(AND($E162&gt;'Rainfall Distribution Coef.'!$B$7,$E162&lt;'Rainfall Distribution Coef.'!$B$8),'Rainfall Distribution Coef.'!E$7+('Rainfall Distribution Coef.'!E$8-'Rainfall Distribution Coef.'!E$7)*(($E162-'Rainfall Distribution Coef.'!$B$7)/('Rainfall Distribution Coef.'!$B$8-'Rainfall Distribution Coef.'!$B$7)),IF(AND($E162&gt;'Rainfall Distribution Coef.'!$B$8,$E162&lt;'Rainfall Distribution Coef.'!$B$9),'Rainfall Distribution Coef.'!E$8+('Rainfall Distribution Coef.'!E$9-'Rainfall Distribution Coef.'!E$8)*(($E162-'Rainfall Distribution Coef.'!$B$8)/('Rainfall Distribution Coef.'!$B$9-'Rainfall Distribution Coef.'!$B$8)),IF(AND($E162&gt;'Rainfall Distribution Coef.'!$B$9,$E162&lt;'Rainfall Distribution Coef.'!$B$10),'Rainfall Distribution Coef.'!E$9+('Rainfall Distribution Coef.'!E$10-'Rainfall Distribution Coef.'!E$9)*(($E162-'Rainfall Distribution Coef.'!$B$9)/('Rainfall Distribution Coef.'!$B$10-'Rainfall Distribution Coef.'!$B$9)),IF(AND($E162&gt;'Rainfall Distribution Coef.'!$B$10,$E162&lt;'Rainfall Distribution Coef.'!$B$11),'Rainfall Distribution Coef.'!E$10+('Rainfall Distribution Coef.'!E$11-'Rainfall Distribution Coef.'!E$10)*(($E162-'Rainfall Distribution Coef.'!$B$10)/('Rainfall Distribution Coef.'!$B$11-'Rainfall Distribution Coef.'!$B$10)),IF(AND($E162&gt;'Rainfall Distribution Coef.'!$B$11,$E162&lt;'Rainfall Distribution Coef.'!$B$12),'Rainfall Distribution Coef.'!E$11+('Rainfall Distribution Coef.'!E$12-'Rainfall Distribution Coef.'!E$11)*(($E162-'Rainfall Distribution Coef.'!$B$11)/('Rainfall Distribution Coef.'!$B$12-'Rainfall Distribution Coef.'!$B$11)),IF(AND($E162&gt;'Rainfall Distribution Coef.'!$B$12,$E162&lt;'Rainfall Distribution Coef.'!$B$13),'Rainfall Distribution Coef.'!E$12+('Rainfall Distribution Coef.'!E$13-'Rainfall Distribution Coef.'!E$12)*(($E162-'Rainfall Distribution Coef.'!$B$12)/('Rainfall Distribution Coef.'!$B$13-'Rainfall Distribution Coef.'!$B$12)),0))))))))+IF(AND($E162&gt;'Rainfall Distribution Coef.'!$B$13,$E162&lt;'Rainfall Distribution Coef.'!$B$14),'Rainfall Distribution Coef.'!E$13+('Rainfall Distribution Coef.'!E$14-'Rainfall Distribution Coef.'!E$13)*(($E162-'Rainfall Distribution Coef.'!$B$13)/('Rainfall Distribution Coef.'!$B$14-'Rainfall Distribution Coef.'!$B$13)),IF($E162='Rainfall Distribution Coef.'!$B$14,'Rainfall Distribution Coef.'!E$14,0))</f>
        <v>-0.10195915071767028</v>
      </c>
      <c r="N162" s="94">
        <f>(IF('Rainfall Distribution Coef.'!$B$16&gt;$E162,'Rainfall Distribution Coef.'!C$16,IF(AND($E162&gt;'Rainfall Distribution Coef.'!$B$16,$E162&lt;'Rainfall Distribution Coef.'!$B$17),'Rainfall Distribution Coef.'!C$16+('Rainfall Distribution Coef.'!C$17-'Rainfall Distribution Coef.'!C$16)*(($E162-'Rainfall Distribution Coef.'!$B$16)/('Rainfall Distribution Coef.'!$B$17-'Rainfall Distribution Coef.'!$B$16)),IF(AND($E162&gt;'Rainfall Distribution Coef.'!$B$17,$E162&lt;'Rainfall Distribution Coef.'!$B$18),'Rainfall Distribution Coef.'!C$17+('Rainfall Distribution Coef.'!C$18-'Rainfall Distribution Coef.'!C$17)*(($E162-'Rainfall Distribution Coef.'!$B$17)/('Rainfall Distribution Coef.'!$B$18-'Rainfall Distribution Coef.'!$B$17)),IF(AND($E162&gt;'Rainfall Distribution Coef.'!$B$18,$E162&lt;'Rainfall Distribution Coef.'!$B$19),'Rainfall Distribution Coef.'!C$18+('Rainfall Distribution Coef.'!C$19-'Rainfall Distribution Coef.'!C$18)*(($E162-'Rainfall Distribution Coef.'!$B$18)/('Rainfall Distribution Coef.'!$B$19-'Rainfall Distribution Coef.'!$B$18)),IF(AND($E162&gt;'Rainfall Distribution Coef.'!$B$19,$E162&lt;'Rainfall Distribution Coef.'!$B$20),'Rainfall Distribution Coef.'!C$19+('Rainfall Distribution Coef.'!C$20-'Rainfall Distribution Coef.'!C$19)*(($E162-'Rainfall Distribution Coef.'!$B$19)/('Rainfall Distribution Coef.'!$B$20-'Rainfall Distribution Coef.'!$B$19)),IF($E162='Rainfall Distribution Coef.'!$B$20,'Rainfall Distribution Coef.'!C$20,0)))))))</f>
        <v>1.9704027107017299</v>
      </c>
      <c r="O162" s="94">
        <f>(IF('Rainfall Distribution Coef.'!$B$16&gt;$E162,'Rainfall Distribution Coef.'!D$16,IF(AND($E162&gt;'Rainfall Distribution Coef.'!$B$16,$E162&lt;'Rainfall Distribution Coef.'!$B$17),'Rainfall Distribution Coef.'!D$16+('Rainfall Distribution Coef.'!D$17-'Rainfall Distribution Coef.'!D$16)*(($E162-'Rainfall Distribution Coef.'!$B$16)/('Rainfall Distribution Coef.'!$B$17-'Rainfall Distribution Coef.'!$B$16)),IF(AND($E162&gt;'Rainfall Distribution Coef.'!$B$17,$E162&lt;'Rainfall Distribution Coef.'!$B$18),'Rainfall Distribution Coef.'!D$17+('Rainfall Distribution Coef.'!D$18-'Rainfall Distribution Coef.'!D$17)*(($E162-'Rainfall Distribution Coef.'!$B$17)/('Rainfall Distribution Coef.'!$B$18-'Rainfall Distribution Coef.'!$B$17)),IF(AND($E162&gt;'Rainfall Distribution Coef.'!$B$18,$E162&lt;'Rainfall Distribution Coef.'!$B$19),'Rainfall Distribution Coef.'!D$18+('Rainfall Distribution Coef.'!D$19-'Rainfall Distribution Coef.'!D$18)*(($E162-'Rainfall Distribution Coef.'!$B$18)/('Rainfall Distribution Coef.'!$B$19-'Rainfall Distribution Coef.'!$B$18)),IF(AND($E162&gt;'Rainfall Distribution Coef.'!$B$19,$E162&lt;'Rainfall Distribution Coef.'!$B$20),'Rainfall Distribution Coef.'!D$19+('Rainfall Distribution Coef.'!D$20-'Rainfall Distribution Coef.'!D$19)*(($E162-'Rainfall Distribution Coef.'!$B$19)/('Rainfall Distribution Coef.'!$B$20-'Rainfall Distribution Coef.'!$B$19)),IF($E162='Rainfall Distribution Coef.'!$B$20,'Rainfall Distribution Coef.'!D$20,0)))))))</f>
        <v>-0.29727573541904062</v>
      </c>
      <c r="P162" s="94">
        <f>(IF('Rainfall Distribution Coef.'!$B$16&gt;$E162,'Rainfall Distribution Coef.'!E$16,IF(AND($E162&gt;'Rainfall Distribution Coef.'!$B$16,$E162&lt;'Rainfall Distribution Coef.'!$B$17),'Rainfall Distribution Coef.'!E$16+('Rainfall Distribution Coef.'!E$17-'Rainfall Distribution Coef.'!E$16)*(($E162-'Rainfall Distribution Coef.'!$B$16)/('Rainfall Distribution Coef.'!$B$17-'Rainfall Distribution Coef.'!$B$16)),IF(AND($E162&gt;'Rainfall Distribution Coef.'!$B$17,$E162&lt;'Rainfall Distribution Coef.'!$B$18),'Rainfall Distribution Coef.'!E$17+('Rainfall Distribution Coef.'!E$18-'Rainfall Distribution Coef.'!E$17)*(($E162-'Rainfall Distribution Coef.'!$B$17)/('Rainfall Distribution Coef.'!$B$18-'Rainfall Distribution Coef.'!$B$17)),IF(AND($E162&gt;'Rainfall Distribution Coef.'!$B$18,$E162&lt;'Rainfall Distribution Coef.'!$B$19),'Rainfall Distribution Coef.'!E$18+('Rainfall Distribution Coef.'!E$19-'Rainfall Distribution Coef.'!E$18)*(($E162-'Rainfall Distribution Coef.'!$B$18)/('Rainfall Distribution Coef.'!$B$19-'Rainfall Distribution Coef.'!$B$18)),IF(AND($E162&gt;'Rainfall Distribution Coef.'!$B$19,$E162&lt;'Rainfall Distribution Coef.'!$B$20),'Rainfall Distribution Coef.'!E$19+('Rainfall Distribution Coef.'!E$20-'Rainfall Distribution Coef.'!E$19)*(($E162-'Rainfall Distribution Coef.'!$B$19)/('Rainfall Distribution Coef.'!$B$20-'Rainfall Distribution Coef.'!$B$19)),IF($E162='Rainfall Distribution Coef.'!$B$20,'Rainfall Distribution Coef.'!E$20,0)))))))</f>
        <v>-0.10041554272544689</v>
      </c>
      <c r="Q162" s="95">
        <f>(IF('Rainfall Distribution Coef.'!$B$22&gt;$E162,'Rainfall Distribution Coef.'!C$22,IF(AND($E162&gt;'Rainfall Distribution Coef.'!$B$22,$E162&lt;'Rainfall Distribution Coef.'!$B$23),'Rainfall Distribution Coef.'!C$22+('Rainfall Distribution Coef.'!C$23-'Rainfall Distribution Coef.'!C$22)*(($E162-'Rainfall Distribution Coef.'!$B$22)/('Rainfall Distribution Coef.'!$B$23-'Rainfall Distribution Coef.'!$B$22)),IF(AND($E162&gt;'Rainfall Distribution Coef.'!$B$23,$E162&lt;'Rainfall Distribution Coef.'!$B$24),'Rainfall Distribution Coef.'!C$23+('Rainfall Distribution Coef.'!C$24-'Rainfall Distribution Coef.'!C$23)*(($E162-'Rainfall Distribution Coef.'!$B$23)/('Rainfall Distribution Coef.'!$B$24-'Rainfall Distribution Coef.'!$B$23)),IF(AND($E162&gt;'Rainfall Distribution Coef.'!$B$24,$E162&lt;'Rainfall Distribution Coef.'!$B$25),'Rainfall Distribution Coef.'!C$24+('Rainfall Distribution Coef.'!C$25-'Rainfall Distribution Coef.'!C$24)*(($E162-'Rainfall Distribution Coef.'!$B$24)/('Rainfall Distribution Coef.'!$B$25-'Rainfall Distribution Coef.'!$B$24)),IF(AND($E162&gt;'Rainfall Distribution Coef.'!$B$25,$E162&lt;'Rainfall Distribution Coef.'!$B$26),'Rainfall Distribution Coef.'!C$25+('Rainfall Distribution Coef.'!C$26-'Rainfall Distribution Coef.'!C$25)*(($E162-'Rainfall Distribution Coef.'!$B$25)/('Rainfall Distribution Coef.'!$B$26-'Rainfall Distribution Coef.'!$B$25)),IF(AND($E162&gt;'Rainfall Distribution Coef.'!$B$26,$E162&lt;'Rainfall Distribution Coef.'!$B$27),'Rainfall Distribution Coef.'!C$26+('Rainfall Distribution Coef.'!C$27-'Rainfall Distribution Coef.'!C$26)*(($E162-'Rainfall Distribution Coef.'!$B$26)/('Rainfall Distribution Coef.'!$B$27-'Rainfall Distribution Coef.'!$B$26)), IF($E162='Rainfall Distribution Coef.'!$B$27,'Rainfall Distribution Coef.'!C$27,0))))))))</f>
        <v>2.5290152523855087</v>
      </c>
      <c r="R162" s="95">
        <f>(IF('Rainfall Distribution Coef.'!$B$22&gt;$E162,'Rainfall Distribution Coef.'!D$22,IF(AND($E162&gt;'Rainfall Distribution Coef.'!$B$22,$E162&lt;'Rainfall Distribution Coef.'!$B$23),'Rainfall Distribution Coef.'!D$22+('Rainfall Distribution Coef.'!D$23-'Rainfall Distribution Coef.'!D$22)*(($E162-'Rainfall Distribution Coef.'!$B$22)/('Rainfall Distribution Coef.'!$B$23-'Rainfall Distribution Coef.'!$B$22)),IF(AND($E162&gt;'Rainfall Distribution Coef.'!$B$23,$E162&lt;'Rainfall Distribution Coef.'!$B$24),'Rainfall Distribution Coef.'!D$23+('Rainfall Distribution Coef.'!D$24-'Rainfall Distribution Coef.'!D$23)*(($E162-'Rainfall Distribution Coef.'!$B$23)/('Rainfall Distribution Coef.'!$B$24-'Rainfall Distribution Coef.'!$B$23)),IF(AND($E162&gt;'Rainfall Distribution Coef.'!$B$24,$E162&lt;'Rainfall Distribution Coef.'!$B$25),'Rainfall Distribution Coef.'!D$24+('Rainfall Distribution Coef.'!D$25-'Rainfall Distribution Coef.'!D$24)*(($E162-'Rainfall Distribution Coef.'!$B$24)/('Rainfall Distribution Coef.'!$B$25-'Rainfall Distribution Coef.'!$B$24)),IF(AND($E162&gt;'Rainfall Distribution Coef.'!$B$25,$E162&lt;'Rainfall Distribution Coef.'!$B$26),'Rainfall Distribution Coef.'!D$25+('Rainfall Distribution Coef.'!D$26-'Rainfall Distribution Coef.'!D$25)*(($E162-'Rainfall Distribution Coef.'!$B$25)/('Rainfall Distribution Coef.'!$B$26-'Rainfall Distribution Coef.'!$B$25)),IF(AND($E162&gt;'Rainfall Distribution Coef.'!$B$26,$E162&lt;'Rainfall Distribution Coef.'!$B$27),'Rainfall Distribution Coef.'!D$26+('Rainfall Distribution Coef.'!D$27-'Rainfall Distribution Coef.'!D$26)*(($E162-'Rainfall Distribution Coef.'!$B$26)/('Rainfall Distribution Coef.'!$B$27-'Rainfall Distribution Coef.'!$B$26)), IF($E162='Rainfall Distribution Coef.'!$B$27,'Rainfall Distribution Coef.'!D$27,0))))))))</f>
        <v>-0.6171720972554654</v>
      </c>
      <c r="S162" s="95">
        <f>(IF('Rainfall Distribution Coef.'!$B$22&gt;$E162,'Rainfall Distribution Coef.'!E$22,IF(AND($E162&gt;'Rainfall Distribution Coef.'!$B$22,$E162&lt;'Rainfall Distribution Coef.'!$B$23),'Rainfall Distribution Coef.'!E$22+('Rainfall Distribution Coef.'!E$23-'Rainfall Distribution Coef.'!E$22)*(($E162-'Rainfall Distribution Coef.'!$B$22)/('Rainfall Distribution Coef.'!$B$23-'Rainfall Distribution Coef.'!$B$22)),IF(AND($E162&gt;'Rainfall Distribution Coef.'!$B$23,$E162&lt;'Rainfall Distribution Coef.'!$B$24),'Rainfall Distribution Coef.'!E$23+('Rainfall Distribution Coef.'!E$24-'Rainfall Distribution Coef.'!E$23)*(($E162-'Rainfall Distribution Coef.'!$B$23)/('Rainfall Distribution Coef.'!$B$24-'Rainfall Distribution Coef.'!$B$23)),IF(AND($E162&gt;'Rainfall Distribution Coef.'!$B$24,$E162&lt;'Rainfall Distribution Coef.'!$B$25),'Rainfall Distribution Coef.'!E$24+('Rainfall Distribution Coef.'!E$25-'Rainfall Distribution Coef.'!E$24)*(($E162-'Rainfall Distribution Coef.'!$B$24)/('Rainfall Distribution Coef.'!$B$25-'Rainfall Distribution Coef.'!$B$24)),IF(AND($E162&gt;'Rainfall Distribution Coef.'!$B$25,$E162&lt;'Rainfall Distribution Coef.'!$B$26),'Rainfall Distribution Coef.'!E$25+('Rainfall Distribution Coef.'!E$26-'Rainfall Distribution Coef.'!E$25)*(($E162-'Rainfall Distribution Coef.'!$B$25)/('Rainfall Distribution Coef.'!$B$26-'Rainfall Distribution Coef.'!$B$25)),IF(AND($E162&gt;'Rainfall Distribution Coef.'!$B$26,$E162&lt;'Rainfall Distribution Coef.'!$B$27),'Rainfall Distribution Coef.'!E$26+('Rainfall Distribution Coef.'!E$27-'Rainfall Distribution Coef.'!E$26)*(($E162-'Rainfall Distribution Coef.'!$B$26)/('Rainfall Distribution Coef.'!$B$27-'Rainfall Distribution Coef.'!$B$26)), IF($E162='Rainfall Distribution Coef.'!$B$27,'Rainfall Distribution Coef.'!E$27,0))))))))</f>
        <v>-0.15095717641014944</v>
      </c>
      <c r="T162" s="95">
        <f>(IF('Rainfall Distribution Coef.'!$B$29&gt;$E162,'Rainfall Distribution Coef.'!C$29,IF(AND($E162&gt;'Rainfall Distribution Coef.'!$B$29,$E162&lt;'Rainfall Distribution Coef.'!$B$30),'Rainfall Distribution Coef.'!C$29+('Rainfall Distribution Coef.'!C$30-'Rainfall Distribution Coef.'!C$29)*(($E162-'Rainfall Distribution Coef.'!$B$29)/('Rainfall Distribution Coef.'!$B$30-'Rainfall Distribution Coef.'!$B$29)),IF(AND($E162&gt;'Rainfall Distribution Coef.'!$B$30,$E162&lt;'Rainfall Distribution Coef.'!$B$31),'Rainfall Distribution Coef.'!C$30+('Rainfall Distribution Coef.'!C$31-'Rainfall Distribution Coef.'!C$30)*(($E162-'Rainfall Distribution Coef.'!$B$30)/('Rainfall Distribution Coef.'!$B$31-'Rainfall Distribution Coef.'!$B$30)),IF(AND($E162&gt;'Rainfall Distribution Coef.'!$B$31,$E162&lt;'Rainfall Distribution Coef.'!$B$32),'Rainfall Distribution Coef.'!C$31+('Rainfall Distribution Coef.'!C$32-'Rainfall Distribution Coef.'!C$31)*(($E162-'Rainfall Distribution Coef.'!$B$31)/('Rainfall Distribution Coef.'!$B$32-'Rainfall Distribution Coef.'!$B$31)),IF(AND($E162&gt;'Rainfall Distribution Coef.'!$B$32,$E162&lt;'Rainfall Distribution Coef.'!$B$33),'Rainfall Distribution Coef.'!C$32+('Rainfall Distribution Coef.'!C$33-'Rainfall Distribution Coef.'!C$32)*(($E162-'Rainfall Distribution Coef.'!$B$32)/('Rainfall Distribution Coef.'!$B$33-'Rainfall Distribution Coef.'!$B$32)),IF(AND($E162&gt;'Rainfall Distribution Coef.'!$B$33,$E162&lt;'Rainfall Distribution Coef.'!$B$34),'Rainfall Distribution Coef.'!C$33+('Rainfall Distribution Coef.'!C$34-'Rainfall Distribution Coef.'!C$33)*(($E162-'Rainfall Distribution Coef.'!$B$33)/('Rainfall Distribution Coef.'!$B$34-'Rainfall Distribution Coef.'!$B$33)), IF($E162='Rainfall Distribution Coef.'!$B$34,'Rainfall Distribution Coef.'!C$34,0))))))))</f>
        <v>2.4519907036278212</v>
      </c>
      <c r="U162" s="95">
        <f>(IF('Rainfall Distribution Coef.'!$B$29&gt;$E162,'Rainfall Distribution Coef.'!D$29,IF(AND($E162&gt;'Rainfall Distribution Coef.'!$B$29,$E162&lt;'Rainfall Distribution Coef.'!$B$30),'Rainfall Distribution Coef.'!D$29+('Rainfall Distribution Coef.'!D$30-'Rainfall Distribution Coef.'!D$29)*(($E162-'Rainfall Distribution Coef.'!$B$29)/('Rainfall Distribution Coef.'!$B$30-'Rainfall Distribution Coef.'!$B$29)),IF(AND($E162&gt;'Rainfall Distribution Coef.'!$B$30,$E162&lt;'Rainfall Distribution Coef.'!$B$31),'Rainfall Distribution Coef.'!D$30+('Rainfall Distribution Coef.'!D$31-'Rainfall Distribution Coef.'!D$30)*(($E162-'Rainfall Distribution Coef.'!$B$30)/('Rainfall Distribution Coef.'!$B$31-'Rainfall Distribution Coef.'!$B$30)),IF(AND($E162&gt;'Rainfall Distribution Coef.'!$B$31,$E162&lt;'Rainfall Distribution Coef.'!$B$32),'Rainfall Distribution Coef.'!D$31+('Rainfall Distribution Coef.'!D$32-'Rainfall Distribution Coef.'!D$31)*(($E162-'Rainfall Distribution Coef.'!$B$31)/('Rainfall Distribution Coef.'!$B$32-'Rainfall Distribution Coef.'!$B$31)),IF(AND($E162&gt;'Rainfall Distribution Coef.'!$B$32,$E162&lt;'Rainfall Distribution Coef.'!$B$33),'Rainfall Distribution Coef.'!D$32+('Rainfall Distribution Coef.'!D$33-'Rainfall Distribution Coef.'!D$32)*(($E162-'Rainfall Distribution Coef.'!$B$32)/('Rainfall Distribution Coef.'!$B$33-'Rainfall Distribution Coef.'!$B$32)),IF(AND($E162&gt;'Rainfall Distribution Coef.'!$B$33,$E162&lt;'Rainfall Distribution Coef.'!$B$34),'Rainfall Distribution Coef.'!D$33+('Rainfall Distribution Coef.'!D$34-'Rainfall Distribution Coef.'!D$33)*(($E162-'Rainfall Distribution Coef.'!$B$33)/('Rainfall Distribution Coef.'!$B$34-'Rainfall Distribution Coef.'!$B$33)), IF($E162='Rainfall Distribution Coef.'!$B$34,'Rainfall Distribution Coef.'!D$34,0))))))))</f>
        <v>-0.51670059754760989</v>
      </c>
      <c r="V162" s="95">
        <f>(IF('Rainfall Distribution Coef.'!$B$29&gt;$E162,'Rainfall Distribution Coef.'!E$29,IF(AND($E162&gt;'Rainfall Distribution Coef.'!$B$29,$E162&lt;'Rainfall Distribution Coef.'!$B$30),'Rainfall Distribution Coef.'!E$29+('Rainfall Distribution Coef.'!E$30-'Rainfall Distribution Coef.'!E$29)*(($E162-'Rainfall Distribution Coef.'!$B$29)/('Rainfall Distribution Coef.'!$B$30-'Rainfall Distribution Coef.'!$B$29)),IF(AND($E162&gt;'Rainfall Distribution Coef.'!$B$30,$E162&lt;'Rainfall Distribution Coef.'!$B$31),'Rainfall Distribution Coef.'!E$30+('Rainfall Distribution Coef.'!E$31-'Rainfall Distribution Coef.'!E$30)*(($E162-'Rainfall Distribution Coef.'!$B$30)/('Rainfall Distribution Coef.'!$B$31-'Rainfall Distribution Coef.'!$B$30)),IF(AND($E162&gt;'Rainfall Distribution Coef.'!$B$31,$E162&lt;'Rainfall Distribution Coef.'!$B$32),'Rainfall Distribution Coef.'!E$31+('Rainfall Distribution Coef.'!E$32-'Rainfall Distribution Coef.'!E$31)*(($E162-'Rainfall Distribution Coef.'!$B$31)/('Rainfall Distribution Coef.'!$B$32-'Rainfall Distribution Coef.'!$B$31)),IF(AND($E162&gt;'Rainfall Distribution Coef.'!$B$32,$E162&lt;'Rainfall Distribution Coef.'!$B$33),'Rainfall Distribution Coef.'!E$32+('Rainfall Distribution Coef.'!E$33-'Rainfall Distribution Coef.'!E$32)*(($E162-'Rainfall Distribution Coef.'!$B$32)/('Rainfall Distribution Coef.'!$B$33-'Rainfall Distribution Coef.'!$B$32)),IF(AND($E162&gt;'Rainfall Distribution Coef.'!$B$33,$E162&lt;'Rainfall Distribution Coef.'!$B$34),'Rainfall Distribution Coef.'!E$33+('Rainfall Distribution Coef.'!E$34-'Rainfall Distribution Coef.'!E$33)*(($E162-'Rainfall Distribution Coef.'!$B$33)/('Rainfall Distribution Coef.'!$B$34-'Rainfall Distribution Coef.'!$B$33)), IF($E162='Rainfall Distribution Coef.'!$B$34,'Rainfall Distribution Coef.'!E$34,0))))))))</f>
        <v>-0.16025825601815288</v>
      </c>
    </row>
    <row r="163" spans="1:22" ht="12.75" x14ac:dyDescent="0.2">
      <c r="B163" s="90">
        <v>100</v>
      </c>
      <c r="C163" s="86">
        <f>F132</f>
        <v>8.3000000000000007</v>
      </c>
      <c r="D163" s="86">
        <f>$E$138</f>
        <v>1.132155972212006</v>
      </c>
      <c r="E163" s="86">
        <f>IF(D163/C163&gt;0.5,0.5,D163/C163)</f>
        <v>0.1364043340014465</v>
      </c>
      <c r="F163" s="91">
        <f>IF($A$64='Rainfall Distribution Coef.'!$K$2,10^(K163+(L163*LOG($E$121))+(M163*(LOG($E$121))^2)),IF($A$64='Rainfall Distribution Coef.'!$K$3,10^(N163+(O163*LOG($E$121))+(P163*(LOG($E$121))^2)),IF($A$64='Rainfall Distribution Coef.'!$K$4,10^(Q163+(R163*LOG($E$121))+(S163*(LOG($E$121))^2)),IF($A$64='Rainfall Distribution Coef.'!$K$5,10^(T163+(U163*LOG($E$121))+(V163*(LOG($E$121))^2)),"UPDATE"))))</f>
        <v>243.35092486030683</v>
      </c>
      <c r="G163" s="75" t="s">
        <v>89</v>
      </c>
      <c r="H163" s="82"/>
      <c r="K163" s="94">
        <f>(IF('Rainfall Distribution Coef.'!$B$7&gt;$E163,'Rainfall Distribution Coef.'!C$7,IF(AND($E163&gt;'Rainfall Distribution Coef.'!$B$7,$E163&lt;'Rainfall Distribution Coef.'!$B$8),'Rainfall Distribution Coef.'!C$7+('Rainfall Distribution Coef.'!C$8-'Rainfall Distribution Coef.'!C$7)*(($E163-'Rainfall Distribution Coef.'!$B$7)/('Rainfall Distribution Coef.'!$B$8-'Rainfall Distribution Coef.'!$B$7)),IF(AND($E163&gt;'Rainfall Distribution Coef.'!$B$8,$E163&lt;'Rainfall Distribution Coef.'!$B$9),'Rainfall Distribution Coef.'!C$8+('Rainfall Distribution Coef.'!C$9-'Rainfall Distribution Coef.'!C$8)*(($E163-'Rainfall Distribution Coef.'!$B$8)/('Rainfall Distribution Coef.'!$B$9-'Rainfall Distribution Coef.'!$B$8)),IF(AND($E163&gt;'Rainfall Distribution Coef.'!$B$9,$E163&lt;'Rainfall Distribution Coef.'!$B$10),'Rainfall Distribution Coef.'!C$9+('Rainfall Distribution Coef.'!C$10-'Rainfall Distribution Coef.'!C$9)*(($E163-'Rainfall Distribution Coef.'!$B$9)/('Rainfall Distribution Coef.'!$B$10-'Rainfall Distribution Coef.'!$B$9)),IF(AND($E163&gt;'Rainfall Distribution Coef.'!$B$10,$E163&lt;'Rainfall Distribution Coef.'!$B$11),'Rainfall Distribution Coef.'!C$10+('Rainfall Distribution Coef.'!C$11-'Rainfall Distribution Coef.'!C$10)*(($E163-'Rainfall Distribution Coef.'!$B$10)/('Rainfall Distribution Coef.'!$B$11-'Rainfall Distribution Coef.'!$B$10)),IF(AND($E163&gt;'Rainfall Distribution Coef.'!$B$11,$E163&lt;'Rainfall Distribution Coef.'!$B$12),'Rainfall Distribution Coef.'!C$11+('Rainfall Distribution Coef.'!C$12-'Rainfall Distribution Coef.'!C$11)*(($E163-'Rainfall Distribution Coef.'!$B$11)/('Rainfall Distribution Coef.'!$B$12-'Rainfall Distribution Coef.'!$B$11)),IF(AND($E163&gt;'Rainfall Distribution Coef.'!$B$12,$E163&lt;'Rainfall Distribution Coef.'!$B$13),'Rainfall Distribution Coef.'!C$12+('Rainfall Distribution Coef.'!C$13-'Rainfall Distribution Coef.'!C$12)*(($E163-'Rainfall Distribution Coef.'!$B$12)/('Rainfall Distribution Coef.'!$B$13-'Rainfall Distribution Coef.'!$B$12)),0))))))))+IF(AND($E163&gt;'Rainfall Distribution Coef.'!$B$13,$E163&lt;'Rainfall Distribution Coef.'!$B$14),'Rainfall Distribution Coef.'!C$13+('Rainfall Distribution Coef.'!C$14-'Rainfall Distribution Coef.'!C$13)*(($E163-'Rainfall Distribution Coef.'!$B$13)/('Rainfall Distribution Coef.'!$B$14-'Rainfall Distribution Coef.'!$B$13)),IF($E163='Rainfall Distribution Coef.'!$B$14,'Rainfall Distribution Coef.'!C$14,0))</f>
        <v>2.2799696405647856</v>
      </c>
      <c r="L163" s="94">
        <f>(IF('Rainfall Distribution Coef.'!$B$7&gt;$E163,'Rainfall Distribution Coef.'!D$7,IF(AND($E163&gt;'Rainfall Distribution Coef.'!$B$7,$E163&lt;'Rainfall Distribution Coef.'!$B$8),'Rainfall Distribution Coef.'!D$7+('Rainfall Distribution Coef.'!D$8-'Rainfall Distribution Coef.'!D$7)*(($E163-'Rainfall Distribution Coef.'!$B$7)/('Rainfall Distribution Coef.'!$B$8-'Rainfall Distribution Coef.'!$B$7)),IF(AND($E163&gt;'Rainfall Distribution Coef.'!$B$8,$E163&lt;'Rainfall Distribution Coef.'!$B$9),'Rainfall Distribution Coef.'!D$8+('Rainfall Distribution Coef.'!D$9-'Rainfall Distribution Coef.'!D$8)*(($E163-'Rainfall Distribution Coef.'!$B$8)/('Rainfall Distribution Coef.'!$B$9-'Rainfall Distribution Coef.'!$B$8)),IF(AND($E163&gt;'Rainfall Distribution Coef.'!$B$9,$E163&lt;'Rainfall Distribution Coef.'!$B$10),'Rainfall Distribution Coef.'!D$9+('Rainfall Distribution Coef.'!D$10-'Rainfall Distribution Coef.'!D$9)*(($E163-'Rainfall Distribution Coef.'!$B$9)/('Rainfall Distribution Coef.'!$B$10-'Rainfall Distribution Coef.'!$B$9)),IF(AND($E163&gt;'Rainfall Distribution Coef.'!$B$10,$E163&lt;'Rainfall Distribution Coef.'!$B$11),'Rainfall Distribution Coef.'!D$10+('Rainfall Distribution Coef.'!D$11-'Rainfall Distribution Coef.'!D$10)*(($E163-'Rainfall Distribution Coef.'!$B$10)/('Rainfall Distribution Coef.'!$B$11-'Rainfall Distribution Coef.'!$B$10)),IF(AND($E163&gt;'Rainfall Distribution Coef.'!$B$11,$E163&lt;'Rainfall Distribution Coef.'!$B$12),'Rainfall Distribution Coef.'!D$11+('Rainfall Distribution Coef.'!D$12-'Rainfall Distribution Coef.'!D$11)*(($E163-'Rainfall Distribution Coef.'!$B$11)/('Rainfall Distribution Coef.'!$B$12-'Rainfall Distribution Coef.'!$B$11)),IF(AND($E163&gt;'Rainfall Distribution Coef.'!$B$12,$E163&lt;'Rainfall Distribution Coef.'!$B$13),'Rainfall Distribution Coef.'!D$12+('Rainfall Distribution Coef.'!D$13-'Rainfall Distribution Coef.'!D$12)*(($E163-'Rainfall Distribution Coef.'!$B$12)/('Rainfall Distribution Coef.'!$B$13-'Rainfall Distribution Coef.'!$B$12)),0))))))))+IF(AND($E163&gt;'Rainfall Distribution Coef.'!$B$13,$E163&lt;'Rainfall Distribution Coef.'!$B$14),'Rainfall Distribution Coef.'!D$13+('Rainfall Distribution Coef.'!D$14-'Rainfall Distribution Coef.'!D$13)*(($E163-'Rainfall Distribution Coef.'!$B$13)/('Rainfall Distribution Coef.'!$B$14-'Rainfall Distribution Coef.'!$B$13)),IF($E163='Rainfall Distribution Coef.'!$B$14,'Rainfall Distribution Coef.'!D$14,0))</f>
        <v>-0.51049666839704932</v>
      </c>
      <c r="M163" s="94">
        <f>(IF('Rainfall Distribution Coef.'!$B$7&gt;$E163,'Rainfall Distribution Coef.'!E$7,IF(AND($E163&gt;'Rainfall Distribution Coef.'!$B$7,$E163&lt;'Rainfall Distribution Coef.'!$B$8),'Rainfall Distribution Coef.'!E$7+('Rainfall Distribution Coef.'!E$8-'Rainfall Distribution Coef.'!E$7)*(($E163-'Rainfall Distribution Coef.'!$B$7)/('Rainfall Distribution Coef.'!$B$8-'Rainfall Distribution Coef.'!$B$7)),IF(AND($E163&gt;'Rainfall Distribution Coef.'!$B$8,$E163&lt;'Rainfall Distribution Coef.'!$B$9),'Rainfall Distribution Coef.'!E$8+('Rainfall Distribution Coef.'!E$9-'Rainfall Distribution Coef.'!E$8)*(($E163-'Rainfall Distribution Coef.'!$B$8)/('Rainfall Distribution Coef.'!$B$9-'Rainfall Distribution Coef.'!$B$8)),IF(AND($E163&gt;'Rainfall Distribution Coef.'!$B$9,$E163&lt;'Rainfall Distribution Coef.'!$B$10),'Rainfall Distribution Coef.'!E$9+('Rainfall Distribution Coef.'!E$10-'Rainfall Distribution Coef.'!E$9)*(($E163-'Rainfall Distribution Coef.'!$B$9)/('Rainfall Distribution Coef.'!$B$10-'Rainfall Distribution Coef.'!$B$9)),IF(AND($E163&gt;'Rainfall Distribution Coef.'!$B$10,$E163&lt;'Rainfall Distribution Coef.'!$B$11),'Rainfall Distribution Coef.'!E$10+('Rainfall Distribution Coef.'!E$11-'Rainfall Distribution Coef.'!E$10)*(($E163-'Rainfall Distribution Coef.'!$B$10)/('Rainfall Distribution Coef.'!$B$11-'Rainfall Distribution Coef.'!$B$10)),IF(AND($E163&gt;'Rainfall Distribution Coef.'!$B$11,$E163&lt;'Rainfall Distribution Coef.'!$B$12),'Rainfall Distribution Coef.'!E$11+('Rainfall Distribution Coef.'!E$12-'Rainfall Distribution Coef.'!E$11)*(($E163-'Rainfall Distribution Coef.'!$B$11)/('Rainfall Distribution Coef.'!$B$12-'Rainfall Distribution Coef.'!$B$11)),IF(AND($E163&gt;'Rainfall Distribution Coef.'!$B$12,$E163&lt;'Rainfall Distribution Coef.'!$B$13),'Rainfall Distribution Coef.'!E$12+('Rainfall Distribution Coef.'!E$13-'Rainfall Distribution Coef.'!E$12)*(($E163-'Rainfall Distribution Coef.'!$B$12)/('Rainfall Distribution Coef.'!$B$13-'Rainfall Distribution Coef.'!$B$12)),0))))))))+IF(AND($E163&gt;'Rainfall Distribution Coef.'!$B$13,$E163&lt;'Rainfall Distribution Coef.'!$B$14),'Rainfall Distribution Coef.'!E$13+('Rainfall Distribution Coef.'!E$14-'Rainfall Distribution Coef.'!E$13)*(($E163-'Rainfall Distribution Coef.'!$B$13)/('Rainfall Distribution Coef.'!$B$14-'Rainfall Distribution Coef.'!$B$13)),IF($E163='Rainfall Distribution Coef.'!$B$14,'Rainfall Distribution Coef.'!E$14,0))</f>
        <v>-0.10723033737819193</v>
      </c>
      <c r="N163" s="94">
        <f>(IF('Rainfall Distribution Coef.'!$B$16&gt;$E163,'Rainfall Distribution Coef.'!C$16,IF(AND($E163&gt;'Rainfall Distribution Coef.'!$B$16,$E163&lt;'Rainfall Distribution Coef.'!$B$17),'Rainfall Distribution Coef.'!C$16+('Rainfall Distribution Coef.'!C$17-'Rainfall Distribution Coef.'!C$16)*(($E163-'Rainfall Distribution Coef.'!$B$16)/('Rainfall Distribution Coef.'!$B$17-'Rainfall Distribution Coef.'!$B$16)),IF(AND($E163&gt;'Rainfall Distribution Coef.'!$B$17,$E163&lt;'Rainfall Distribution Coef.'!$B$18),'Rainfall Distribution Coef.'!C$17+('Rainfall Distribution Coef.'!C$18-'Rainfall Distribution Coef.'!C$17)*(($E163-'Rainfall Distribution Coef.'!$B$17)/('Rainfall Distribution Coef.'!$B$18-'Rainfall Distribution Coef.'!$B$17)),IF(AND($E163&gt;'Rainfall Distribution Coef.'!$B$18,$E163&lt;'Rainfall Distribution Coef.'!$B$19),'Rainfall Distribution Coef.'!C$18+('Rainfall Distribution Coef.'!C$19-'Rainfall Distribution Coef.'!C$18)*(($E163-'Rainfall Distribution Coef.'!$B$18)/('Rainfall Distribution Coef.'!$B$19-'Rainfall Distribution Coef.'!$B$18)),IF(AND($E163&gt;'Rainfall Distribution Coef.'!$B$19,$E163&lt;'Rainfall Distribution Coef.'!$B$20),'Rainfall Distribution Coef.'!C$19+('Rainfall Distribution Coef.'!C$20-'Rainfall Distribution Coef.'!C$19)*(($E163-'Rainfall Distribution Coef.'!$B$19)/('Rainfall Distribution Coef.'!$B$20-'Rainfall Distribution Coef.'!$B$19)),IF($E163='Rainfall Distribution Coef.'!$B$20,'Rainfall Distribution Coef.'!C$20,0)))))))</f>
        <v>1.9914650347135696</v>
      </c>
      <c r="O163" s="94">
        <f>(IF('Rainfall Distribution Coef.'!$B$16&gt;$E163,'Rainfall Distribution Coef.'!D$16,IF(AND($E163&gt;'Rainfall Distribution Coef.'!$B$16,$E163&lt;'Rainfall Distribution Coef.'!$B$17),'Rainfall Distribution Coef.'!D$16+('Rainfall Distribution Coef.'!D$17-'Rainfall Distribution Coef.'!D$16)*(($E163-'Rainfall Distribution Coef.'!$B$16)/('Rainfall Distribution Coef.'!$B$17-'Rainfall Distribution Coef.'!$B$16)),IF(AND($E163&gt;'Rainfall Distribution Coef.'!$B$17,$E163&lt;'Rainfall Distribution Coef.'!$B$18),'Rainfall Distribution Coef.'!D$17+('Rainfall Distribution Coef.'!D$18-'Rainfall Distribution Coef.'!D$17)*(($E163-'Rainfall Distribution Coef.'!$B$17)/('Rainfall Distribution Coef.'!$B$18-'Rainfall Distribution Coef.'!$B$17)),IF(AND($E163&gt;'Rainfall Distribution Coef.'!$B$18,$E163&lt;'Rainfall Distribution Coef.'!$B$19),'Rainfall Distribution Coef.'!D$18+('Rainfall Distribution Coef.'!D$19-'Rainfall Distribution Coef.'!D$18)*(($E163-'Rainfall Distribution Coef.'!$B$18)/('Rainfall Distribution Coef.'!$B$19-'Rainfall Distribution Coef.'!$B$18)),IF(AND($E163&gt;'Rainfall Distribution Coef.'!$B$19,$E163&lt;'Rainfall Distribution Coef.'!$B$20),'Rainfall Distribution Coef.'!D$19+('Rainfall Distribution Coef.'!D$20-'Rainfall Distribution Coef.'!D$19)*(($E163-'Rainfall Distribution Coef.'!$B$19)/('Rainfall Distribution Coef.'!$B$20-'Rainfall Distribution Coef.'!$B$19)),IF($E163='Rainfall Distribution Coef.'!$B$20,'Rainfall Distribution Coef.'!D$20,0)))))))</f>
        <v>-0.30356902030831284</v>
      </c>
      <c r="P163" s="94">
        <f>(IF('Rainfall Distribution Coef.'!$B$16&gt;$E163,'Rainfall Distribution Coef.'!E$16,IF(AND($E163&gt;'Rainfall Distribution Coef.'!$B$16,$E163&lt;'Rainfall Distribution Coef.'!$B$17),'Rainfall Distribution Coef.'!E$16+('Rainfall Distribution Coef.'!E$17-'Rainfall Distribution Coef.'!E$16)*(($E163-'Rainfall Distribution Coef.'!$B$16)/('Rainfall Distribution Coef.'!$B$17-'Rainfall Distribution Coef.'!$B$16)),IF(AND($E163&gt;'Rainfall Distribution Coef.'!$B$17,$E163&lt;'Rainfall Distribution Coef.'!$B$18),'Rainfall Distribution Coef.'!E$17+('Rainfall Distribution Coef.'!E$18-'Rainfall Distribution Coef.'!E$17)*(($E163-'Rainfall Distribution Coef.'!$B$17)/('Rainfall Distribution Coef.'!$B$18-'Rainfall Distribution Coef.'!$B$17)),IF(AND($E163&gt;'Rainfall Distribution Coef.'!$B$18,$E163&lt;'Rainfall Distribution Coef.'!$B$19),'Rainfall Distribution Coef.'!E$18+('Rainfall Distribution Coef.'!E$19-'Rainfall Distribution Coef.'!E$18)*(($E163-'Rainfall Distribution Coef.'!$B$18)/('Rainfall Distribution Coef.'!$B$19-'Rainfall Distribution Coef.'!$B$18)),IF(AND($E163&gt;'Rainfall Distribution Coef.'!$B$19,$E163&lt;'Rainfall Distribution Coef.'!$B$20),'Rainfall Distribution Coef.'!E$19+('Rainfall Distribution Coef.'!E$20-'Rainfall Distribution Coef.'!E$19)*(($E163-'Rainfall Distribution Coef.'!$B$19)/('Rainfall Distribution Coef.'!$B$20-'Rainfall Distribution Coef.'!$B$19)),IF($E163='Rainfall Distribution Coef.'!$B$20,'Rainfall Distribution Coef.'!E$20,0)))))))</f>
        <v>-0.11298716408382679</v>
      </c>
      <c r="Q163" s="95">
        <f>(IF('Rainfall Distribution Coef.'!$B$22&gt;$E163,'Rainfall Distribution Coef.'!C$22,IF(AND($E163&gt;'Rainfall Distribution Coef.'!$B$22,$E163&lt;'Rainfall Distribution Coef.'!$B$23),'Rainfall Distribution Coef.'!C$22+('Rainfall Distribution Coef.'!C$23-'Rainfall Distribution Coef.'!C$22)*(($E163-'Rainfall Distribution Coef.'!$B$22)/('Rainfall Distribution Coef.'!$B$23-'Rainfall Distribution Coef.'!$B$22)),IF(AND($E163&gt;'Rainfall Distribution Coef.'!$B$23,$E163&lt;'Rainfall Distribution Coef.'!$B$24),'Rainfall Distribution Coef.'!C$23+('Rainfall Distribution Coef.'!C$24-'Rainfall Distribution Coef.'!C$23)*(($E163-'Rainfall Distribution Coef.'!$B$23)/('Rainfall Distribution Coef.'!$B$24-'Rainfall Distribution Coef.'!$B$23)),IF(AND($E163&gt;'Rainfall Distribution Coef.'!$B$24,$E163&lt;'Rainfall Distribution Coef.'!$B$25),'Rainfall Distribution Coef.'!C$24+('Rainfall Distribution Coef.'!C$25-'Rainfall Distribution Coef.'!C$24)*(($E163-'Rainfall Distribution Coef.'!$B$24)/('Rainfall Distribution Coef.'!$B$25-'Rainfall Distribution Coef.'!$B$24)),IF(AND($E163&gt;'Rainfall Distribution Coef.'!$B$25,$E163&lt;'Rainfall Distribution Coef.'!$B$26),'Rainfall Distribution Coef.'!C$25+('Rainfall Distribution Coef.'!C$26-'Rainfall Distribution Coef.'!C$25)*(($E163-'Rainfall Distribution Coef.'!$B$25)/('Rainfall Distribution Coef.'!$B$26-'Rainfall Distribution Coef.'!$B$25)),IF(AND($E163&gt;'Rainfall Distribution Coef.'!$B$26,$E163&lt;'Rainfall Distribution Coef.'!$B$27),'Rainfall Distribution Coef.'!C$26+('Rainfall Distribution Coef.'!C$27-'Rainfall Distribution Coef.'!C$26)*(($E163-'Rainfall Distribution Coef.'!$B$26)/('Rainfall Distribution Coef.'!$B$27-'Rainfall Distribution Coef.'!$B$26)), IF($E163='Rainfall Distribution Coef.'!$B$27,'Rainfall Distribution Coef.'!C$27,0))))))))</f>
        <v>2.5372284749896643</v>
      </c>
      <c r="R163" s="95">
        <f>(IF('Rainfall Distribution Coef.'!$B$22&gt;$E163,'Rainfall Distribution Coef.'!D$22,IF(AND($E163&gt;'Rainfall Distribution Coef.'!$B$22,$E163&lt;'Rainfall Distribution Coef.'!$B$23),'Rainfall Distribution Coef.'!D$22+('Rainfall Distribution Coef.'!D$23-'Rainfall Distribution Coef.'!D$22)*(($E163-'Rainfall Distribution Coef.'!$B$22)/('Rainfall Distribution Coef.'!$B$23-'Rainfall Distribution Coef.'!$B$22)),IF(AND($E163&gt;'Rainfall Distribution Coef.'!$B$23,$E163&lt;'Rainfall Distribution Coef.'!$B$24),'Rainfall Distribution Coef.'!D$23+('Rainfall Distribution Coef.'!D$24-'Rainfall Distribution Coef.'!D$23)*(($E163-'Rainfall Distribution Coef.'!$B$23)/('Rainfall Distribution Coef.'!$B$24-'Rainfall Distribution Coef.'!$B$23)),IF(AND($E163&gt;'Rainfall Distribution Coef.'!$B$24,$E163&lt;'Rainfall Distribution Coef.'!$B$25),'Rainfall Distribution Coef.'!D$24+('Rainfall Distribution Coef.'!D$25-'Rainfall Distribution Coef.'!D$24)*(($E163-'Rainfall Distribution Coef.'!$B$24)/('Rainfall Distribution Coef.'!$B$25-'Rainfall Distribution Coef.'!$B$24)),IF(AND($E163&gt;'Rainfall Distribution Coef.'!$B$25,$E163&lt;'Rainfall Distribution Coef.'!$B$26),'Rainfall Distribution Coef.'!D$25+('Rainfall Distribution Coef.'!D$26-'Rainfall Distribution Coef.'!D$25)*(($E163-'Rainfall Distribution Coef.'!$B$25)/('Rainfall Distribution Coef.'!$B$26-'Rainfall Distribution Coef.'!$B$25)),IF(AND($E163&gt;'Rainfall Distribution Coef.'!$B$26,$E163&lt;'Rainfall Distribution Coef.'!$B$27),'Rainfall Distribution Coef.'!D$26+('Rainfall Distribution Coef.'!D$27-'Rainfall Distribution Coef.'!D$26)*(($E163-'Rainfall Distribution Coef.'!$B$26)/('Rainfall Distribution Coef.'!$B$27-'Rainfall Distribution Coef.'!$B$26)), IF($E163='Rainfall Distribution Coef.'!$B$27,'Rainfall Distribution Coef.'!D$27,0))))))))</f>
        <v>-0.61647606144155387</v>
      </c>
      <c r="S163" s="95">
        <f>(IF('Rainfall Distribution Coef.'!$B$22&gt;$E163,'Rainfall Distribution Coef.'!E$22,IF(AND($E163&gt;'Rainfall Distribution Coef.'!$B$22,$E163&lt;'Rainfall Distribution Coef.'!$B$23),'Rainfall Distribution Coef.'!E$22+('Rainfall Distribution Coef.'!E$23-'Rainfall Distribution Coef.'!E$22)*(($E163-'Rainfall Distribution Coef.'!$B$22)/('Rainfall Distribution Coef.'!$B$23-'Rainfall Distribution Coef.'!$B$22)),IF(AND($E163&gt;'Rainfall Distribution Coef.'!$B$23,$E163&lt;'Rainfall Distribution Coef.'!$B$24),'Rainfall Distribution Coef.'!E$23+('Rainfall Distribution Coef.'!E$24-'Rainfall Distribution Coef.'!E$23)*(($E163-'Rainfall Distribution Coef.'!$B$23)/('Rainfall Distribution Coef.'!$B$24-'Rainfall Distribution Coef.'!$B$23)),IF(AND($E163&gt;'Rainfall Distribution Coef.'!$B$24,$E163&lt;'Rainfall Distribution Coef.'!$B$25),'Rainfall Distribution Coef.'!E$24+('Rainfall Distribution Coef.'!E$25-'Rainfall Distribution Coef.'!E$24)*(($E163-'Rainfall Distribution Coef.'!$B$24)/('Rainfall Distribution Coef.'!$B$25-'Rainfall Distribution Coef.'!$B$24)),IF(AND($E163&gt;'Rainfall Distribution Coef.'!$B$25,$E163&lt;'Rainfall Distribution Coef.'!$B$26),'Rainfall Distribution Coef.'!E$25+('Rainfall Distribution Coef.'!E$26-'Rainfall Distribution Coef.'!E$25)*(($E163-'Rainfall Distribution Coef.'!$B$25)/('Rainfall Distribution Coef.'!$B$26-'Rainfall Distribution Coef.'!$B$25)),IF(AND($E163&gt;'Rainfall Distribution Coef.'!$B$26,$E163&lt;'Rainfall Distribution Coef.'!$B$27),'Rainfall Distribution Coef.'!E$26+('Rainfall Distribution Coef.'!E$27-'Rainfall Distribution Coef.'!E$26)*(($E163-'Rainfall Distribution Coef.'!$B$26)/('Rainfall Distribution Coef.'!$B$27-'Rainfall Distribution Coef.'!$B$26)), IF($E163='Rainfall Distribution Coef.'!$B$27,'Rainfall Distribution Coef.'!E$27,0))))))))</f>
        <v>-0.15539125154145675</v>
      </c>
      <c r="T163" s="95">
        <f>(IF('Rainfall Distribution Coef.'!$B$29&gt;$E163,'Rainfall Distribution Coef.'!C$29,IF(AND($E163&gt;'Rainfall Distribution Coef.'!$B$29,$E163&lt;'Rainfall Distribution Coef.'!$B$30),'Rainfall Distribution Coef.'!C$29+('Rainfall Distribution Coef.'!C$30-'Rainfall Distribution Coef.'!C$29)*(($E163-'Rainfall Distribution Coef.'!$B$29)/('Rainfall Distribution Coef.'!$B$30-'Rainfall Distribution Coef.'!$B$29)),IF(AND($E163&gt;'Rainfall Distribution Coef.'!$B$30,$E163&lt;'Rainfall Distribution Coef.'!$B$31),'Rainfall Distribution Coef.'!C$30+('Rainfall Distribution Coef.'!C$31-'Rainfall Distribution Coef.'!C$30)*(($E163-'Rainfall Distribution Coef.'!$B$30)/('Rainfall Distribution Coef.'!$B$31-'Rainfall Distribution Coef.'!$B$30)),IF(AND($E163&gt;'Rainfall Distribution Coef.'!$B$31,$E163&lt;'Rainfall Distribution Coef.'!$B$32),'Rainfall Distribution Coef.'!C$31+('Rainfall Distribution Coef.'!C$32-'Rainfall Distribution Coef.'!C$31)*(($E163-'Rainfall Distribution Coef.'!$B$31)/('Rainfall Distribution Coef.'!$B$32-'Rainfall Distribution Coef.'!$B$31)),IF(AND($E163&gt;'Rainfall Distribution Coef.'!$B$32,$E163&lt;'Rainfall Distribution Coef.'!$B$33),'Rainfall Distribution Coef.'!C$32+('Rainfall Distribution Coef.'!C$33-'Rainfall Distribution Coef.'!C$32)*(($E163-'Rainfall Distribution Coef.'!$B$32)/('Rainfall Distribution Coef.'!$B$33-'Rainfall Distribution Coef.'!$B$32)),IF(AND($E163&gt;'Rainfall Distribution Coef.'!$B$33,$E163&lt;'Rainfall Distribution Coef.'!$B$34),'Rainfall Distribution Coef.'!C$33+('Rainfall Distribution Coef.'!C$34-'Rainfall Distribution Coef.'!C$33)*(($E163-'Rainfall Distribution Coef.'!$B$33)/('Rainfall Distribution Coef.'!$B$34-'Rainfall Distribution Coef.'!$B$33)), IF($E163='Rainfall Distribution Coef.'!$B$34,'Rainfall Distribution Coef.'!C$34,0))))))))</f>
        <v>2.4591743537931441</v>
      </c>
      <c r="U163" s="95">
        <f>(IF('Rainfall Distribution Coef.'!$B$29&gt;$E163,'Rainfall Distribution Coef.'!D$29,IF(AND($E163&gt;'Rainfall Distribution Coef.'!$B$29,$E163&lt;'Rainfall Distribution Coef.'!$B$30),'Rainfall Distribution Coef.'!D$29+('Rainfall Distribution Coef.'!D$30-'Rainfall Distribution Coef.'!D$29)*(($E163-'Rainfall Distribution Coef.'!$B$29)/('Rainfall Distribution Coef.'!$B$30-'Rainfall Distribution Coef.'!$B$29)),IF(AND($E163&gt;'Rainfall Distribution Coef.'!$B$30,$E163&lt;'Rainfall Distribution Coef.'!$B$31),'Rainfall Distribution Coef.'!D$30+('Rainfall Distribution Coef.'!D$31-'Rainfall Distribution Coef.'!D$30)*(($E163-'Rainfall Distribution Coef.'!$B$30)/('Rainfall Distribution Coef.'!$B$31-'Rainfall Distribution Coef.'!$B$30)),IF(AND($E163&gt;'Rainfall Distribution Coef.'!$B$31,$E163&lt;'Rainfall Distribution Coef.'!$B$32),'Rainfall Distribution Coef.'!D$31+('Rainfall Distribution Coef.'!D$32-'Rainfall Distribution Coef.'!D$31)*(($E163-'Rainfall Distribution Coef.'!$B$31)/('Rainfall Distribution Coef.'!$B$32-'Rainfall Distribution Coef.'!$B$31)),IF(AND($E163&gt;'Rainfall Distribution Coef.'!$B$32,$E163&lt;'Rainfall Distribution Coef.'!$B$33),'Rainfall Distribution Coef.'!D$32+('Rainfall Distribution Coef.'!D$33-'Rainfall Distribution Coef.'!D$32)*(($E163-'Rainfall Distribution Coef.'!$B$32)/('Rainfall Distribution Coef.'!$B$33-'Rainfall Distribution Coef.'!$B$32)),IF(AND($E163&gt;'Rainfall Distribution Coef.'!$B$33,$E163&lt;'Rainfall Distribution Coef.'!$B$34),'Rainfall Distribution Coef.'!D$33+('Rainfall Distribution Coef.'!D$34-'Rainfall Distribution Coef.'!D$33)*(($E163-'Rainfall Distribution Coef.'!$B$33)/('Rainfall Distribution Coef.'!$B$34-'Rainfall Distribution Coef.'!$B$33)), IF($E163='Rainfall Distribution Coef.'!$B$34,'Rainfall Distribution Coef.'!D$34,0))))))))</f>
        <v>-0.51730414001175329</v>
      </c>
      <c r="V163" s="95">
        <f>(IF('Rainfall Distribution Coef.'!$B$29&gt;$E163,'Rainfall Distribution Coef.'!E$29,IF(AND($E163&gt;'Rainfall Distribution Coef.'!$B$29,$E163&lt;'Rainfall Distribution Coef.'!$B$30),'Rainfall Distribution Coef.'!E$29+('Rainfall Distribution Coef.'!E$30-'Rainfall Distribution Coef.'!E$29)*(($E163-'Rainfall Distribution Coef.'!$B$29)/('Rainfall Distribution Coef.'!$B$30-'Rainfall Distribution Coef.'!$B$29)),IF(AND($E163&gt;'Rainfall Distribution Coef.'!$B$30,$E163&lt;'Rainfall Distribution Coef.'!$B$31),'Rainfall Distribution Coef.'!E$30+('Rainfall Distribution Coef.'!E$31-'Rainfall Distribution Coef.'!E$30)*(($E163-'Rainfall Distribution Coef.'!$B$30)/('Rainfall Distribution Coef.'!$B$31-'Rainfall Distribution Coef.'!$B$30)),IF(AND($E163&gt;'Rainfall Distribution Coef.'!$B$31,$E163&lt;'Rainfall Distribution Coef.'!$B$32),'Rainfall Distribution Coef.'!E$31+('Rainfall Distribution Coef.'!E$32-'Rainfall Distribution Coef.'!E$31)*(($E163-'Rainfall Distribution Coef.'!$B$31)/('Rainfall Distribution Coef.'!$B$32-'Rainfall Distribution Coef.'!$B$31)),IF(AND($E163&gt;'Rainfall Distribution Coef.'!$B$32,$E163&lt;'Rainfall Distribution Coef.'!$B$33),'Rainfall Distribution Coef.'!E$32+('Rainfall Distribution Coef.'!E$33-'Rainfall Distribution Coef.'!E$32)*(($E163-'Rainfall Distribution Coef.'!$B$32)/('Rainfall Distribution Coef.'!$B$33-'Rainfall Distribution Coef.'!$B$32)),IF(AND($E163&gt;'Rainfall Distribution Coef.'!$B$33,$E163&lt;'Rainfall Distribution Coef.'!$B$34),'Rainfall Distribution Coef.'!E$33+('Rainfall Distribution Coef.'!E$34-'Rainfall Distribution Coef.'!E$33)*(($E163-'Rainfall Distribution Coef.'!$B$33)/('Rainfall Distribution Coef.'!$B$34-'Rainfall Distribution Coef.'!$B$33)), IF($E163='Rainfall Distribution Coef.'!$B$34,'Rainfall Distribution Coef.'!E$34,0))))))))</f>
        <v>-0.16384400830512244</v>
      </c>
    </row>
    <row r="164" spans="1:22" x14ac:dyDescent="0.2">
      <c r="E164" s="91"/>
    </row>
    <row r="165" spans="1:22" x14ac:dyDescent="0.2">
      <c r="A165" s="83" t="s">
        <v>90</v>
      </c>
      <c r="B165" s="83"/>
      <c r="C165" s="83"/>
    </row>
    <row r="166" spans="1:22" x14ac:dyDescent="0.2">
      <c r="F166" s="77"/>
    </row>
    <row r="167" spans="1:22" ht="13.5" x14ac:dyDescent="0.25">
      <c r="B167" s="113">
        <v>5</v>
      </c>
      <c r="C167" s="75" t="s">
        <v>91</v>
      </c>
      <c r="D167" s="96">
        <f>B167/D99</f>
        <v>8.4480865084058457E-3</v>
      </c>
      <c r="E167" s="97" t="s">
        <v>102</v>
      </c>
      <c r="F167" s="114">
        <v>0.9</v>
      </c>
    </row>
    <row r="169" spans="1:22" ht="12.75" customHeight="1" x14ac:dyDescent="0.25">
      <c r="A169" s="103" t="s">
        <v>103</v>
      </c>
      <c r="B169" s="103"/>
      <c r="C169" s="103"/>
      <c r="D169" s="103"/>
      <c r="E169" s="103"/>
      <c r="F169" s="103"/>
      <c r="G169" s="103"/>
      <c r="H169" s="103"/>
      <c r="I169" s="103"/>
    </row>
    <row r="171" spans="1:22" ht="13.5" x14ac:dyDescent="0.25">
      <c r="B171" s="75" t="s">
        <v>104</v>
      </c>
    </row>
    <row r="172" spans="1:22" x14ac:dyDescent="0.2">
      <c r="C172" s="98"/>
      <c r="D172" s="98"/>
    </row>
    <row r="173" spans="1:22" ht="24.75" x14ac:dyDescent="0.25">
      <c r="B173" s="89" t="s">
        <v>13</v>
      </c>
      <c r="C173" s="90" t="s">
        <v>101</v>
      </c>
      <c r="D173" s="90" t="s">
        <v>105</v>
      </c>
      <c r="E173" s="90" t="s">
        <v>32</v>
      </c>
      <c r="F173" s="90" t="s">
        <v>106</v>
      </c>
      <c r="G173" s="90" t="s">
        <v>107</v>
      </c>
      <c r="H173" s="90"/>
    </row>
    <row r="174" spans="1:22" x14ac:dyDescent="0.2">
      <c r="B174" s="90">
        <v>2</v>
      </c>
      <c r="C174" s="91">
        <f>F159</f>
        <v>200.65284659229727</v>
      </c>
      <c r="D174" s="86">
        <f>$D$99/640</f>
        <v>0.92476562500000004</v>
      </c>
      <c r="E174" s="91">
        <f>F149</f>
        <v>0.74923556911574252</v>
      </c>
      <c r="F174" s="99">
        <f>$F$167</f>
        <v>0.9</v>
      </c>
      <c r="G174" s="91">
        <f>F174*E174*D174*C174</f>
        <v>125.12321633196181</v>
      </c>
      <c r="H174" s="82" t="s">
        <v>33</v>
      </c>
    </row>
    <row r="175" spans="1:22" x14ac:dyDescent="0.2">
      <c r="B175" s="90">
        <v>10</v>
      </c>
      <c r="C175" s="91">
        <f>F160</f>
        <v>225.22213425851706</v>
      </c>
      <c r="D175" s="86">
        <f>$D$99/640</f>
        <v>0.92476562500000004</v>
      </c>
      <c r="E175" s="91">
        <f>F150</f>
        <v>1.7673810735272755</v>
      </c>
      <c r="F175" s="99">
        <f>$F$167</f>
        <v>0.9</v>
      </c>
      <c r="G175" s="91">
        <f>F175*E175*D175*C175</f>
        <v>331.29543903288146</v>
      </c>
      <c r="H175" s="82" t="s">
        <v>33</v>
      </c>
    </row>
    <row r="176" spans="1:22" x14ac:dyDescent="0.2">
      <c r="B176" s="90">
        <v>25</v>
      </c>
      <c r="C176" s="91">
        <f>F161</f>
        <v>233.6678693281572</v>
      </c>
      <c r="D176" s="86">
        <f>$D$99/640</f>
        <v>0.92476562500000004</v>
      </c>
      <c r="E176" s="91">
        <f>F151</f>
        <v>2.5392200320315679</v>
      </c>
      <c r="F176" s="99">
        <f>$F$167</f>
        <v>0.9</v>
      </c>
      <c r="G176" s="91">
        <f>F176*E176*D176*C176</f>
        <v>493.82551066893387</v>
      </c>
      <c r="H176" s="82" t="s">
        <v>33</v>
      </c>
    </row>
    <row r="177" spans="1:10" x14ac:dyDescent="0.2">
      <c r="B177" s="90">
        <v>50</v>
      </c>
      <c r="C177" s="91">
        <f>F162</f>
        <v>238.83401890582789</v>
      </c>
      <c r="D177" s="86">
        <f>$D$99/640</f>
        <v>0.92476562500000004</v>
      </c>
      <c r="E177" s="91">
        <f>F152</f>
        <v>3.2161222056427152</v>
      </c>
      <c r="F177" s="99">
        <f>$F$167</f>
        <v>0.9</v>
      </c>
      <c r="G177" s="91">
        <f>F177*E177*D177*C177</f>
        <v>639.29736837770326</v>
      </c>
      <c r="H177" s="82" t="s">
        <v>33</v>
      </c>
    </row>
    <row r="178" spans="1:10" x14ac:dyDescent="0.2">
      <c r="B178" s="90">
        <v>100</v>
      </c>
      <c r="C178" s="91">
        <f>F163</f>
        <v>243.35092486030683</v>
      </c>
      <c r="D178" s="86">
        <f>$D$99/640</f>
        <v>0.92476562500000004</v>
      </c>
      <c r="E178" s="91">
        <f>F153</f>
        <v>4.004949279973756</v>
      </c>
      <c r="F178" s="99">
        <f>$F$167</f>
        <v>0.9</v>
      </c>
      <c r="G178" s="91">
        <f>F178*E178*D178*C178</f>
        <v>811.155671258967</v>
      </c>
      <c r="H178" s="82" t="s">
        <v>33</v>
      </c>
    </row>
    <row r="179" spans="1:10" x14ac:dyDescent="0.2">
      <c r="B179" s="90"/>
      <c r="C179" s="91"/>
      <c r="D179" s="86"/>
      <c r="E179" s="91"/>
      <c r="F179" s="99"/>
      <c r="G179" s="90"/>
      <c r="H179" s="82"/>
    </row>
    <row r="180" spans="1:10" x14ac:dyDescent="0.2">
      <c r="A180" s="80" t="s">
        <v>27</v>
      </c>
      <c r="B180" s="77"/>
      <c r="C180" s="77"/>
      <c r="D180" s="77"/>
      <c r="E180" s="77"/>
      <c r="F180" s="77"/>
    </row>
    <row r="181" spans="1:10" x14ac:dyDescent="0.2">
      <c r="A181" s="77"/>
      <c r="B181" s="77"/>
      <c r="C181" s="77"/>
      <c r="D181" s="77"/>
      <c r="E181" s="77"/>
      <c r="F181" s="77"/>
    </row>
    <row r="182" spans="1:10" ht="24.75" x14ac:dyDescent="0.25">
      <c r="A182" s="77"/>
      <c r="B182" s="104" t="s">
        <v>13</v>
      </c>
      <c r="C182" s="51" t="s">
        <v>109</v>
      </c>
      <c r="D182" s="51" t="s">
        <v>110</v>
      </c>
      <c r="E182" s="51" t="s">
        <v>111</v>
      </c>
      <c r="F182" s="51" t="s">
        <v>31</v>
      </c>
    </row>
    <row r="183" spans="1:10" x14ac:dyDescent="0.2">
      <c r="A183" s="77"/>
      <c r="B183" s="51">
        <v>2</v>
      </c>
      <c r="C183" s="105">
        <f>G82</f>
        <v>121.49388488570237</v>
      </c>
      <c r="D183" s="105">
        <f>G174</f>
        <v>125.12321633196181</v>
      </c>
      <c r="E183" s="79">
        <f>D183-C183</f>
        <v>3.6293314462594424</v>
      </c>
      <c r="F183" s="106">
        <f>E183/D183</f>
        <v>2.9006059408116062E-2</v>
      </c>
    </row>
    <row r="184" spans="1:10" x14ac:dyDescent="0.2">
      <c r="A184" s="77"/>
      <c r="B184" s="51">
        <v>10</v>
      </c>
      <c r="C184" s="105">
        <f>G83</f>
        <v>325.69540959777117</v>
      </c>
      <c r="D184" s="105">
        <f>G175</f>
        <v>331.29543903288146</v>
      </c>
      <c r="E184" s="79">
        <f>D184-C184</f>
        <v>5.6000294351102866</v>
      </c>
      <c r="F184" s="106">
        <f>E184/C184</f>
        <v>1.7194069274805674E-2</v>
      </c>
    </row>
    <row r="185" spans="1:10" x14ac:dyDescent="0.2">
      <c r="A185" s="77"/>
      <c r="B185" s="174">
        <v>25</v>
      </c>
      <c r="C185" s="105">
        <f>G84</f>
        <v>486.81711089788746</v>
      </c>
      <c r="D185" s="105">
        <f>G176</f>
        <v>493.82551066893387</v>
      </c>
      <c r="E185" s="79">
        <f t="shared" ref="E185:E187" si="0">D185-C185</f>
        <v>7.0083997710464132</v>
      </c>
      <c r="F185" s="106">
        <f t="shared" ref="F185:F187" si="1">E185/C185</f>
        <v>1.4396371068634157E-2</v>
      </c>
    </row>
    <row r="186" spans="1:10" x14ac:dyDescent="0.2">
      <c r="A186" s="77"/>
      <c r="B186" s="174">
        <v>50</v>
      </c>
      <c r="C186" s="105">
        <f>G85</f>
        <v>631.2497226677956</v>
      </c>
      <c r="D186" s="105">
        <f>G177</f>
        <v>639.29736837770326</v>
      </c>
      <c r="E186" s="79">
        <f t="shared" si="0"/>
        <v>8.0476457099076697</v>
      </c>
      <c r="F186" s="106">
        <f t="shared" si="1"/>
        <v>1.27487512800744E-2</v>
      </c>
    </row>
    <row r="187" spans="1:10" x14ac:dyDescent="0.2">
      <c r="A187" s="77"/>
      <c r="B187" s="51">
        <v>100</v>
      </c>
      <c r="C187" s="105">
        <f>G86</f>
        <v>802.06404045354475</v>
      </c>
      <c r="D187" s="105">
        <f>G178</f>
        <v>811.155671258967</v>
      </c>
      <c r="E187" s="79">
        <f t="shared" si="0"/>
        <v>9.0916308054222554</v>
      </c>
      <c r="F187" s="106">
        <f t="shared" si="1"/>
        <v>1.1335292877961705E-2</v>
      </c>
    </row>
    <row r="188" spans="1:10" ht="69" customHeight="1" x14ac:dyDescent="0.2">
      <c r="A188" s="197" t="s">
        <v>429</v>
      </c>
      <c r="B188" s="198"/>
      <c r="C188" s="198"/>
      <c r="D188" s="198"/>
      <c r="E188" s="198"/>
      <c r="F188" s="198"/>
      <c r="G188" s="198"/>
      <c r="H188" s="198"/>
      <c r="I188" s="166"/>
      <c r="J188" s="166"/>
    </row>
  </sheetData>
  <sheetProtection formatRows="0"/>
  <dataConsolidate/>
  <mergeCells count="55">
    <mergeCell ref="A188:H188"/>
    <mergeCell ref="E110:G110"/>
    <mergeCell ref="W16:AI16"/>
    <mergeCell ref="W113:AI113"/>
    <mergeCell ref="K157:M157"/>
    <mergeCell ref="N157:P157"/>
    <mergeCell ref="Q157:S157"/>
    <mergeCell ref="B33:D33"/>
    <mergeCell ref="W110:AI110"/>
    <mergeCell ref="W111:AI111"/>
    <mergeCell ref="B125:D125"/>
    <mergeCell ref="E18:G18"/>
    <mergeCell ref="E19:G19"/>
    <mergeCell ref="A77:I77"/>
    <mergeCell ref="W108:AI108"/>
    <mergeCell ref="W109:AI109"/>
    <mergeCell ref="A6:H7"/>
    <mergeCell ref="A88:H88"/>
    <mergeCell ref="A95:H95"/>
    <mergeCell ref="E15:G15"/>
    <mergeCell ref="W15:AI15"/>
    <mergeCell ref="E21:G21"/>
    <mergeCell ref="W17:AI17"/>
    <mergeCell ref="W18:AI18"/>
    <mergeCell ref="W19:AI19"/>
    <mergeCell ref="T65:V65"/>
    <mergeCell ref="E23:G23"/>
    <mergeCell ref="W21:AI21"/>
    <mergeCell ref="W23:AI23"/>
    <mergeCell ref="N65:P65"/>
    <mergeCell ref="W22:AI22"/>
    <mergeCell ref="T157:V157"/>
    <mergeCell ref="E113:G113"/>
    <mergeCell ref="E109:G109"/>
    <mergeCell ref="E115:G115"/>
    <mergeCell ref="E112:G112"/>
    <mergeCell ref="E111:G111"/>
    <mergeCell ref="E114:G114"/>
    <mergeCell ref="W14:AI14"/>
    <mergeCell ref="E14:F14"/>
    <mergeCell ref="E16:G16"/>
    <mergeCell ref="E20:G20"/>
    <mergeCell ref="W20:AI20"/>
    <mergeCell ref="W114:AI114"/>
    <mergeCell ref="E107:G107"/>
    <mergeCell ref="W115:AI115"/>
    <mergeCell ref="W107:AI107"/>
    <mergeCell ref="E17:G17"/>
    <mergeCell ref="Q65:S65"/>
    <mergeCell ref="E108:G108"/>
    <mergeCell ref="W112:AI112"/>
    <mergeCell ref="E106:F106"/>
    <mergeCell ref="W106:AI106"/>
    <mergeCell ref="K65:M65"/>
    <mergeCell ref="E22:G22"/>
  </mergeCells>
  <phoneticPr fontId="0" type="noConversion"/>
  <dataValidations disablePrompts="1" count="4">
    <dataValidation type="list" allowBlank="1" showInputMessage="1" showErrorMessage="1" sqref="A64">
      <formula1>Rainfall2</formula1>
    </dataValidation>
    <dataValidation type="list" allowBlank="1" showInputMessage="1" showErrorMessage="1" sqref="C15:C23 C107:C115">
      <formula1>HSG</formula1>
    </dataValidation>
    <dataValidation type="list" allowBlank="1" showInputMessage="1" showErrorMessage="1" sqref="E15:G23 E107:G115">
      <formula1>Cover1</formula1>
    </dataValidation>
    <dataValidation type="list" allowBlank="1" showInputMessage="1" showErrorMessage="1" sqref="B33">
      <formula1>Counties</formula1>
    </dataValidation>
  </dataValidations>
  <pageMargins left="0.75" right="0.75" top="1" bottom="1" header="0.5" footer="0.5"/>
  <pageSetup scale="98" orientation="portrait" blackAndWhite="1" r:id="rId1"/>
  <headerFooter alignWithMargins="0">
    <oddHeader xml:space="preserve">&amp;LI-20 Improvement Project&amp;CPre vs. Post-Construction Analysis
(SCS Method)&amp;R&amp;D
</oddHeader>
  </headerFooter>
  <rowBreaks count="3" manualBreakCount="3">
    <brk id="46" max="7" man="1"/>
    <brk id="89" max="7" man="1"/>
    <brk id="138"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abSelected="1" view="pageLayout" zoomScaleNormal="100" workbookViewId="0">
      <selection activeCell="AB171" sqref="AB17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202" t="s">
        <v>419</v>
      </c>
      <c r="B1" s="202"/>
      <c r="C1" s="202"/>
      <c r="D1" s="202"/>
      <c r="E1" s="170" t="s">
        <v>421</v>
      </c>
      <c r="F1" s="3" t="s">
        <v>422</v>
      </c>
    </row>
    <row r="2" spans="1:7" x14ac:dyDescent="0.2">
      <c r="A2" s="1"/>
      <c r="B2" s="1"/>
    </row>
    <row r="3" spans="1:7" x14ac:dyDescent="0.2">
      <c r="A3" s="3" t="s">
        <v>35</v>
      </c>
      <c r="B3" s="167" t="s">
        <v>424</v>
      </c>
      <c r="D3" s="3" t="s">
        <v>36</v>
      </c>
      <c r="E3" s="4"/>
    </row>
    <row r="4" spans="1:7" x14ac:dyDescent="0.2">
      <c r="A4" s="3" t="s">
        <v>37</v>
      </c>
      <c r="B4" s="122">
        <v>9</v>
      </c>
      <c r="C4" s="4" t="str">
        <f>IF(E1="Yes","",IF(E1="No","Pre-Construction","Update"))</f>
        <v>Pre-Construction</v>
      </c>
      <c r="D4" s="3" t="s">
        <v>38</v>
      </c>
      <c r="E4" s="177" t="s">
        <v>427</v>
      </c>
    </row>
    <row r="6" spans="1:7" x14ac:dyDescent="0.2">
      <c r="A6" s="202" t="s">
        <v>39</v>
      </c>
      <c r="B6" s="202"/>
      <c r="C6" s="205" t="s">
        <v>428</v>
      </c>
      <c r="D6" s="180"/>
    </row>
    <row r="7" spans="1:7" x14ac:dyDescent="0.2">
      <c r="A7" s="202" t="s">
        <v>418</v>
      </c>
      <c r="B7" s="202"/>
      <c r="C7" s="180" t="s">
        <v>165</v>
      </c>
      <c r="D7" s="180"/>
    </row>
    <row r="9" spans="1:7" x14ac:dyDescent="0.2">
      <c r="A9" s="2" t="s">
        <v>40</v>
      </c>
    </row>
    <row r="10" spans="1:7" x14ac:dyDescent="0.2">
      <c r="A10" s="2"/>
    </row>
    <row r="11" spans="1:7" x14ac:dyDescent="0.2">
      <c r="C11" s="10" t="s">
        <v>41</v>
      </c>
      <c r="D11" s="3">
        <v>1</v>
      </c>
      <c r="E11" s="8"/>
      <c r="G11" s="8"/>
    </row>
    <row r="12" spans="1:7" x14ac:dyDescent="0.2">
      <c r="A12" s="11" t="s">
        <v>42</v>
      </c>
      <c r="D12" s="165" t="s">
        <v>80</v>
      </c>
      <c r="E12" s="8"/>
      <c r="F12" s="121"/>
      <c r="G12" s="8"/>
    </row>
    <row r="13" spans="1:7" x14ac:dyDescent="0.2">
      <c r="A13" s="11" t="s">
        <v>43</v>
      </c>
      <c r="D13" s="164">
        <f>VLOOKUP(D12,'Tc - Mannings n'!$C$5:$D$8,2,FALSE)</f>
        <v>0.8</v>
      </c>
      <c r="E13" s="8"/>
      <c r="F13" s="140">
        <v>0</v>
      </c>
      <c r="G13" s="8"/>
    </row>
    <row r="14" spans="1:7" x14ac:dyDescent="0.2">
      <c r="A14" s="11" t="s">
        <v>44</v>
      </c>
      <c r="D14" s="140">
        <v>100</v>
      </c>
      <c r="E14" s="13"/>
      <c r="F14" s="140">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0">
        <v>0.01</v>
      </c>
      <c r="E16" s="15"/>
      <c r="F16" s="140">
        <v>9.9999999999999995E-7</v>
      </c>
      <c r="G16" s="15"/>
    </row>
    <row r="17" spans="1:9" x14ac:dyDescent="0.2">
      <c r="A17" s="11"/>
      <c r="D17" s="11"/>
      <c r="E17" s="16"/>
      <c r="F17" s="11"/>
      <c r="G17" s="16"/>
    </row>
    <row r="18" spans="1:9" x14ac:dyDescent="0.2">
      <c r="A18" s="11" t="s">
        <v>47</v>
      </c>
      <c r="D18" s="12">
        <f>((0.007*(D13*D14)^0.8)/(((D15)^0.5)*((D16)^0.4)))</f>
        <v>0.77520895196986561</v>
      </c>
      <c r="E18" s="16"/>
      <c r="F18" s="12">
        <f>((0.007*(F13*F14)^0.8)/(((F15)^0.5)*((F16)^0.4)))</f>
        <v>0</v>
      </c>
      <c r="G18" s="16"/>
    </row>
    <row r="19" spans="1:9" x14ac:dyDescent="0.2">
      <c r="D19" s="17"/>
      <c r="E19" s="16"/>
      <c r="F19" s="17"/>
      <c r="G19" s="16"/>
    </row>
    <row r="20" spans="1:9" x14ac:dyDescent="0.2">
      <c r="D20" s="203" t="s">
        <v>48</v>
      </c>
      <c r="E20" s="204"/>
      <c r="F20" s="204"/>
      <c r="G20" s="204"/>
      <c r="H20" s="18">
        <f>D18+F18</f>
        <v>0.77520895196986561</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0">
        <v>7500</v>
      </c>
      <c r="F25" s="140">
        <v>80</v>
      </c>
    </row>
    <row r="26" spans="1:9" x14ac:dyDescent="0.2">
      <c r="A26" s="11" t="s">
        <v>54</v>
      </c>
      <c r="D26" s="140">
        <f>145/D25</f>
        <v>1.9333333333333334E-2</v>
      </c>
      <c r="E26" s="21"/>
      <c r="F26" s="140">
        <f>2.5/F25</f>
        <v>3.125E-2</v>
      </c>
      <c r="G26" s="21"/>
      <c r="H26" s="21"/>
      <c r="I26" s="21"/>
    </row>
    <row r="27" spans="1:9" x14ac:dyDescent="0.2">
      <c r="A27" s="11" t="s">
        <v>55</v>
      </c>
      <c r="D27" s="12">
        <f>(16.1345*(D26^0.5))</f>
        <v>2.2434111849666198</v>
      </c>
      <c r="E27" s="5"/>
      <c r="F27" s="12">
        <f>(20.3282*(F26^0.5))</f>
        <v>3.593552017329094</v>
      </c>
      <c r="G27" s="5"/>
    </row>
    <row r="28" spans="1:9" x14ac:dyDescent="0.2">
      <c r="A28" s="11"/>
      <c r="D28" s="12"/>
      <c r="E28" s="17"/>
      <c r="F28" s="12"/>
      <c r="G28" s="17"/>
    </row>
    <row r="29" spans="1:9" x14ac:dyDescent="0.2">
      <c r="A29" s="11" t="s">
        <v>56</v>
      </c>
      <c r="D29" s="12">
        <f>(D25)/((3600*(D27)))</f>
        <v>0.92864533585907549</v>
      </c>
      <c r="E29" s="17"/>
      <c r="F29" s="12">
        <v>0</v>
      </c>
      <c r="G29" s="17"/>
    </row>
    <row r="30" spans="1:9" x14ac:dyDescent="0.2">
      <c r="D30" s="17"/>
      <c r="E30" s="17"/>
      <c r="F30" s="17"/>
      <c r="G30" s="17"/>
    </row>
    <row r="31" spans="1:9" x14ac:dyDescent="0.2">
      <c r="D31" s="203" t="s">
        <v>57</v>
      </c>
      <c r="E31" s="204"/>
      <c r="F31" s="204"/>
      <c r="G31" s="204"/>
      <c r="H31" s="22">
        <f>D29</f>
        <v>0.92864533585907549</v>
      </c>
    </row>
    <row r="32" spans="1:9" x14ac:dyDescent="0.2">
      <c r="A32" s="23" t="s">
        <v>58</v>
      </c>
    </row>
    <row r="33" spans="1:8" x14ac:dyDescent="0.2">
      <c r="A33" s="2"/>
    </row>
    <row r="34" spans="1:8" x14ac:dyDescent="0.2">
      <c r="A34" s="2"/>
      <c r="C34" s="10" t="s">
        <v>41</v>
      </c>
    </row>
    <row r="35" spans="1:8" ht="13.5" x14ac:dyDescent="0.2">
      <c r="A35" s="12" t="s">
        <v>59</v>
      </c>
      <c r="D35" s="140">
        <v>1E-4</v>
      </c>
      <c r="F35" s="140">
        <v>9.9999999999999994E-12</v>
      </c>
    </row>
    <row r="36" spans="1:8" x14ac:dyDescent="0.2">
      <c r="A36" s="12" t="s">
        <v>60</v>
      </c>
      <c r="D36" s="140">
        <v>1.0000000000000001E-5</v>
      </c>
      <c r="F36" s="140">
        <v>1E-4</v>
      </c>
    </row>
    <row r="37" spans="1:8" x14ac:dyDescent="0.2">
      <c r="A37" s="12" t="s">
        <v>61</v>
      </c>
      <c r="D37" s="12">
        <f>D35/D36</f>
        <v>10</v>
      </c>
      <c r="E37" s="17"/>
      <c r="F37" s="12">
        <f>F35/F36</f>
        <v>9.9999999999999995E-8</v>
      </c>
    </row>
    <row r="38" spans="1:8" x14ac:dyDescent="0.2">
      <c r="A38" s="12" t="s">
        <v>62</v>
      </c>
      <c r="D38" s="140">
        <v>1.0000000000000001E-9</v>
      </c>
      <c r="E38" s="21"/>
      <c r="F38" s="140">
        <v>9.9999999999999995E-7</v>
      </c>
      <c r="G38" s="21"/>
    </row>
    <row r="39" spans="1:8" x14ac:dyDescent="0.2">
      <c r="A39" s="12" t="s">
        <v>63</v>
      </c>
      <c r="D39" s="140">
        <v>0.1</v>
      </c>
      <c r="E39" s="5" t="s">
        <v>64</v>
      </c>
      <c r="F39" s="140">
        <v>1E-4</v>
      </c>
      <c r="G39" s="5"/>
    </row>
    <row r="40" spans="1:8" x14ac:dyDescent="0.2">
      <c r="A40" s="12" t="s">
        <v>65</v>
      </c>
      <c r="D40" s="12">
        <f>1.49*D37^(2/3)*D38^(1/2)/D39</f>
        <v>2.1870209087568836E-3</v>
      </c>
      <c r="E40" s="5"/>
      <c r="F40" s="12">
        <f>1.49*F37^(2/3)*F38^(1/2)/F39</f>
        <v>3.2101076881475095E-4</v>
      </c>
      <c r="G40" s="5"/>
    </row>
    <row r="41" spans="1:8" x14ac:dyDescent="0.2">
      <c r="A41" s="12" t="s">
        <v>66</v>
      </c>
      <c r="D41" s="140">
        <v>0</v>
      </c>
      <c r="E41" s="5"/>
      <c r="F41" s="140">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3" t="s">
        <v>68</v>
      </c>
      <c r="E45" s="204"/>
      <c r="F45" s="204"/>
      <c r="G45" s="204"/>
      <c r="H45" s="18">
        <f>D43+F43</f>
        <v>0</v>
      </c>
    </row>
    <row r="46" spans="1:8" x14ac:dyDescent="0.2">
      <c r="D46" s="25"/>
      <c r="E46" s="26"/>
      <c r="F46" s="25"/>
      <c r="G46" s="25"/>
    </row>
    <row r="48" spans="1:8" x14ac:dyDescent="0.2">
      <c r="B48" s="1" t="s">
        <v>69</v>
      </c>
      <c r="C48" s="1"/>
      <c r="D48" s="27">
        <f>H45+H20+H31</f>
        <v>1.7038542878289411</v>
      </c>
      <c r="E48" s="1" t="s">
        <v>70</v>
      </c>
      <c r="F48" s="27">
        <f>D48*60</f>
        <v>102.23125726973646</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tabSelected="1" view="pageLayout" zoomScaleNormal="100" workbookViewId="0">
      <selection activeCell="AB171" sqref="AB17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3" t="s">
        <v>424</v>
      </c>
      <c r="D2" s="3" t="s">
        <v>36</v>
      </c>
      <c r="E2" s="4"/>
    </row>
    <row r="3" spans="1:7" x14ac:dyDescent="0.2">
      <c r="A3" s="3" t="s">
        <v>37</v>
      </c>
      <c r="B3" s="122">
        <v>9</v>
      </c>
      <c r="C3" s="3" t="s">
        <v>112</v>
      </c>
      <c r="D3" s="3" t="s">
        <v>38</v>
      </c>
      <c r="E3" s="177" t="s">
        <v>427</v>
      </c>
    </row>
    <row r="5" spans="1:7" x14ac:dyDescent="0.2">
      <c r="A5" s="202" t="s">
        <v>39</v>
      </c>
      <c r="B5" s="202"/>
      <c r="C5" s="205" t="s">
        <v>428</v>
      </c>
      <c r="D5" s="180"/>
    </row>
    <row r="6" spans="1:7" x14ac:dyDescent="0.2">
      <c r="A6" s="202" t="s">
        <v>418</v>
      </c>
      <c r="B6" s="202"/>
      <c r="C6" s="179" t="str">
        <f>'tc-pre'!C7:D7</f>
        <v>Lexington, SC</v>
      </c>
      <c r="D6" s="179"/>
    </row>
    <row r="8" spans="1:7" x14ac:dyDescent="0.2">
      <c r="A8" s="2" t="s">
        <v>40</v>
      </c>
    </row>
    <row r="9" spans="1:7" x14ac:dyDescent="0.2">
      <c r="A9" s="2"/>
    </row>
    <row r="10" spans="1:7" x14ac:dyDescent="0.2">
      <c r="C10" s="10" t="s">
        <v>41</v>
      </c>
      <c r="D10" s="3">
        <v>1</v>
      </c>
      <c r="E10" s="8"/>
      <c r="G10" s="8"/>
    </row>
    <row r="11" spans="1:7" x14ac:dyDescent="0.2">
      <c r="A11" s="11" t="s">
        <v>42</v>
      </c>
      <c r="D11" s="165" t="s">
        <v>80</v>
      </c>
      <c r="E11" s="8"/>
      <c r="G11" s="8"/>
    </row>
    <row r="12" spans="1:7" x14ac:dyDescent="0.2">
      <c r="A12" s="11" t="s">
        <v>43</v>
      </c>
      <c r="D12" s="164">
        <f>VLOOKUP(D11,'Tc - Mannings n'!$C$5:$D$8,2,FALSE)</f>
        <v>0.8</v>
      </c>
      <c r="E12" s="8"/>
      <c r="F12" s="140">
        <v>0</v>
      </c>
      <c r="G12" s="8"/>
    </row>
    <row r="13" spans="1:7" x14ac:dyDescent="0.2">
      <c r="A13" s="11" t="s">
        <v>44</v>
      </c>
      <c r="D13" s="140">
        <v>100</v>
      </c>
      <c r="E13" s="13"/>
      <c r="F13" s="140">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0">
        <v>0.01</v>
      </c>
      <c r="E15" s="15"/>
      <c r="F15" s="140">
        <v>9.9999999999999995E-7</v>
      </c>
      <c r="G15" s="15"/>
    </row>
    <row r="16" spans="1:7" x14ac:dyDescent="0.2">
      <c r="A16" s="11"/>
      <c r="D16" s="11"/>
      <c r="E16" s="16"/>
      <c r="F16" s="11"/>
      <c r="G16" s="16"/>
    </row>
    <row r="17" spans="1:9" x14ac:dyDescent="0.2">
      <c r="A17" s="11" t="s">
        <v>47</v>
      </c>
      <c r="D17" s="12">
        <f>((0.007*(D12*D13)^0.8)/(((D14)^0.5)*((D15)^0.4)))</f>
        <v>0.77520895196986561</v>
      </c>
      <c r="E17" s="16"/>
      <c r="F17" s="12">
        <f>((0.007*(F12*F13)^0.8)/(((F14)^0.5)*((F15)^0.4)))</f>
        <v>0</v>
      </c>
      <c r="G17" s="16"/>
    </row>
    <row r="18" spans="1:9" x14ac:dyDescent="0.2">
      <c r="D18" s="17"/>
      <c r="E18" s="16"/>
      <c r="F18" s="17"/>
      <c r="G18" s="16"/>
    </row>
    <row r="19" spans="1:9" x14ac:dyDescent="0.2">
      <c r="D19" s="203" t="s">
        <v>48</v>
      </c>
      <c r="E19" s="204"/>
      <c r="F19" s="204"/>
      <c r="G19" s="204"/>
      <c r="H19" s="18">
        <f>D17+F17</f>
        <v>0.77520895196986561</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0">
        <v>7500</v>
      </c>
      <c r="F24" s="140">
        <v>110</v>
      </c>
    </row>
    <row r="25" spans="1:9" x14ac:dyDescent="0.2">
      <c r="A25" s="11" t="s">
        <v>54</v>
      </c>
      <c r="D25" s="140">
        <f>145/D24</f>
        <v>1.9333333333333334E-2</v>
      </c>
      <c r="E25" s="21"/>
      <c r="F25" s="140">
        <f>2.5/F24</f>
        <v>2.2727272727272728E-2</v>
      </c>
      <c r="G25" s="21"/>
      <c r="H25" s="21"/>
      <c r="I25" s="21"/>
    </row>
    <row r="26" spans="1:9" x14ac:dyDescent="0.2">
      <c r="A26" s="11" t="s">
        <v>55</v>
      </c>
      <c r="D26" s="12">
        <f>(16.1345*(D25^0.5))</f>
        <v>2.2434111849666198</v>
      </c>
      <c r="E26" s="5"/>
      <c r="F26" s="12">
        <f>(20.3282*(F25^0.5))</f>
        <v>3.0645914574228472</v>
      </c>
      <c r="G26" s="5"/>
    </row>
    <row r="27" spans="1:9" x14ac:dyDescent="0.2">
      <c r="A27" s="11"/>
      <c r="D27" s="12"/>
      <c r="E27" s="17"/>
      <c r="F27" s="12"/>
      <c r="G27" s="17"/>
    </row>
    <row r="28" spans="1:9" x14ac:dyDescent="0.2">
      <c r="A28" s="11" t="s">
        <v>56</v>
      </c>
      <c r="D28" s="12">
        <f>(D24)/((3600*(D26)))</f>
        <v>0.92864533585907549</v>
      </c>
      <c r="E28" s="17"/>
      <c r="F28" s="12">
        <v>0</v>
      </c>
      <c r="G28" s="17"/>
    </row>
    <row r="29" spans="1:9" x14ac:dyDescent="0.2">
      <c r="D29" s="17"/>
      <c r="E29" s="17"/>
      <c r="F29" s="17"/>
      <c r="G29" s="17"/>
    </row>
    <row r="30" spans="1:9" x14ac:dyDescent="0.2">
      <c r="D30" s="203" t="s">
        <v>57</v>
      </c>
      <c r="E30" s="204"/>
      <c r="F30" s="204"/>
      <c r="G30" s="204"/>
      <c r="H30" s="22">
        <f>D28</f>
        <v>0.92864533585907549</v>
      </c>
    </row>
    <row r="31" spans="1:9" x14ac:dyDescent="0.2">
      <c r="A31" s="23" t="s">
        <v>58</v>
      </c>
    </row>
    <row r="32" spans="1:9" x14ac:dyDescent="0.2">
      <c r="A32" s="2"/>
    </row>
    <row r="33" spans="1:8" x14ac:dyDescent="0.2">
      <c r="A33" s="2"/>
      <c r="C33" s="10" t="s">
        <v>41</v>
      </c>
    </row>
    <row r="34" spans="1:8" ht="13.5" x14ac:dyDescent="0.2">
      <c r="A34" s="12" t="s">
        <v>59</v>
      </c>
      <c r="D34" s="140">
        <v>1E-4</v>
      </c>
      <c r="F34" s="140">
        <v>9.9999999999999994E-12</v>
      </c>
    </row>
    <row r="35" spans="1:8" x14ac:dyDescent="0.2">
      <c r="A35" s="12" t="s">
        <v>60</v>
      </c>
      <c r="D35" s="140">
        <v>1.0000000000000001E-5</v>
      </c>
      <c r="F35" s="140">
        <v>1E-4</v>
      </c>
    </row>
    <row r="36" spans="1:8" x14ac:dyDescent="0.2">
      <c r="A36" s="12" t="s">
        <v>61</v>
      </c>
      <c r="D36" s="12">
        <f>D34/D35</f>
        <v>10</v>
      </c>
      <c r="E36" s="17"/>
      <c r="F36" s="12">
        <f>F34/F35</f>
        <v>9.9999999999999995E-8</v>
      </c>
    </row>
    <row r="37" spans="1:8" x14ac:dyDescent="0.2">
      <c r="A37" s="12" t="s">
        <v>62</v>
      </c>
      <c r="D37" s="140">
        <v>1.0000000000000001E-9</v>
      </c>
      <c r="E37" s="21"/>
      <c r="F37" s="140">
        <v>9.9999999999999995E-7</v>
      </c>
      <c r="G37" s="21"/>
    </row>
    <row r="38" spans="1:8" x14ac:dyDescent="0.2">
      <c r="A38" s="12" t="s">
        <v>63</v>
      </c>
      <c r="D38" s="140">
        <v>9.9999999999999995E-7</v>
      </c>
      <c r="E38" s="5" t="s">
        <v>64</v>
      </c>
      <c r="F38" s="140">
        <v>1E-4</v>
      </c>
      <c r="G38" s="5"/>
    </row>
    <row r="39" spans="1:8" x14ac:dyDescent="0.2">
      <c r="A39" s="12" t="s">
        <v>65</v>
      </c>
      <c r="D39" s="12">
        <f>1.49*D36^(2/3)*D37^(1/2)/D38</f>
        <v>218.70209087568838</v>
      </c>
      <c r="E39" s="5"/>
      <c r="F39" s="12">
        <f>1.49*F36^(2/3)*F37^(1/2)/F38</f>
        <v>3.2101076881475095E-4</v>
      </c>
      <c r="G39" s="5"/>
    </row>
    <row r="40" spans="1:8" x14ac:dyDescent="0.2">
      <c r="A40" s="12" t="s">
        <v>66</v>
      </c>
      <c r="D40" s="140">
        <v>0</v>
      </c>
      <c r="E40" s="5"/>
      <c r="F40" s="140">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3" t="s">
        <v>68</v>
      </c>
      <c r="E44" s="204"/>
      <c r="F44" s="204"/>
      <c r="G44" s="204"/>
      <c r="H44" s="18">
        <f>D42+F42</f>
        <v>0</v>
      </c>
    </row>
    <row r="45" spans="1:8" x14ac:dyDescent="0.2">
      <c r="D45" s="25"/>
      <c r="E45" s="26"/>
      <c r="F45" s="25"/>
      <c r="G45" s="25"/>
    </row>
    <row r="47" spans="1:8" x14ac:dyDescent="0.2">
      <c r="B47" s="1" t="s">
        <v>69</v>
      </c>
      <c r="C47" s="1"/>
      <c r="D47" s="27">
        <f>IF('tc-pre'!E1="Yes",'tc-pre'!D48,H44+H19+H30)</f>
        <v>1.7038542878289411</v>
      </c>
      <c r="E47" s="1" t="s">
        <v>70</v>
      </c>
      <c r="F47" s="27">
        <f>D47*60</f>
        <v>102.23125726973646</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149</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1.4612365239795522</v>
      </c>
      <c r="H9" s="9">
        <f t="shared" ref="H9:H14" si="1">B9/(C9+$D$5)^D9</f>
        <v>1.4612365239795522</v>
      </c>
      <c r="J9" s="29"/>
      <c r="K9" s="29"/>
      <c r="L9" s="30"/>
    </row>
    <row r="10" spans="1:12" x14ac:dyDescent="0.2">
      <c r="A10" s="31">
        <v>5</v>
      </c>
      <c r="B10" s="34">
        <v>255.24329</v>
      </c>
      <c r="C10" s="30">
        <v>33.254809999999999</v>
      </c>
      <c r="D10" s="30">
        <v>1.0208900000000001</v>
      </c>
      <c r="E10" s="29"/>
      <c r="F10" s="29"/>
      <c r="G10" s="9">
        <f t="shared" si="0"/>
        <v>1.7002955499112615</v>
      </c>
      <c r="H10" s="9">
        <f t="shared" si="1"/>
        <v>1.7002955499112615</v>
      </c>
      <c r="J10" s="29"/>
      <c r="K10" s="29"/>
      <c r="L10" s="30"/>
    </row>
    <row r="11" spans="1:12" x14ac:dyDescent="0.2">
      <c r="A11" s="31">
        <v>10</v>
      </c>
      <c r="B11" s="34">
        <v>265.24779999999998</v>
      </c>
      <c r="C11" s="30">
        <v>31.742000000000001</v>
      </c>
      <c r="D11" s="30">
        <v>1.0112399999999999</v>
      </c>
      <c r="E11" s="29"/>
      <c r="F11" s="29"/>
      <c r="G11" s="35">
        <f t="shared" si="0"/>
        <v>1.8738118902569907</v>
      </c>
      <c r="H11" s="118">
        <f t="shared" si="1"/>
        <v>1.8738118902569907</v>
      </c>
      <c r="J11" s="29"/>
      <c r="K11" s="29"/>
      <c r="L11" s="30"/>
    </row>
    <row r="12" spans="1:12" x14ac:dyDescent="0.2">
      <c r="A12" s="31">
        <v>25</v>
      </c>
      <c r="B12" s="34">
        <v>278.52156000000002</v>
      </c>
      <c r="C12" s="30">
        <v>29.775359999999999</v>
      </c>
      <c r="D12" s="30">
        <v>0.99855000000000005</v>
      </c>
      <c r="E12" s="29"/>
      <c r="F12" s="29"/>
      <c r="G12" s="9">
        <f t="shared" si="0"/>
        <v>2.1248974755386651</v>
      </c>
      <c r="H12" s="9">
        <f t="shared" si="1"/>
        <v>2.1248974755386651</v>
      </c>
      <c r="J12" s="29"/>
      <c r="K12" s="29"/>
      <c r="L12" s="30"/>
    </row>
    <row r="13" spans="1:12" x14ac:dyDescent="0.2">
      <c r="A13" s="31">
        <v>50</v>
      </c>
      <c r="B13" s="34">
        <v>287.81452999999999</v>
      </c>
      <c r="C13" s="30">
        <v>28.396049999999999</v>
      </c>
      <c r="D13" s="30">
        <v>0.98965999999999998</v>
      </c>
      <c r="E13" s="29"/>
      <c r="F13" s="29"/>
      <c r="G13" s="9">
        <f t="shared" si="0"/>
        <v>2.3171733866272533</v>
      </c>
      <c r="H13" s="9">
        <f t="shared" si="1"/>
        <v>2.3171733866272533</v>
      </c>
    </row>
    <row r="14" spans="1:12" x14ac:dyDescent="0.2">
      <c r="A14" s="31">
        <v>100</v>
      </c>
      <c r="B14" s="34">
        <v>295.99399</v>
      </c>
      <c r="C14" s="30">
        <v>27.15249</v>
      </c>
      <c r="D14" s="30">
        <v>0.98175999999999997</v>
      </c>
      <c r="E14" s="29"/>
      <c r="F14" s="29"/>
      <c r="G14" s="9">
        <f t="shared" si="0"/>
        <v>2.4999070079725323</v>
      </c>
      <c r="H14" s="9">
        <f t="shared" si="1"/>
        <v>2.4999070079725323</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150</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1.5248693119433372</v>
      </c>
      <c r="H9" s="9">
        <f t="shared" ref="H9:H14" si="1">B9/(C9+$D$5)^D9</f>
        <v>1.5248693119433372</v>
      </c>
      <c r="J9" s="29"/>
      <c r="K9" s="29"/>
      <c r="L9" s="30"/>
    </row>
    <row r="10" spans="1:12" x14ac:dyDescent="0.2">
      <c r="A10" s="31">
        <v>5</v>
      </c>
      <c r="B10" s="34">
        <v>257.69540999999998</v>
      </c>
      <c r="C10" s="30">
        <v>32.880209999999998</v>
      </c>
      <c r="D10" s="30">
        <v>1.01851</v>
      </c>
      <c r="E10" s="29"/>
      <c r="F10" s="29"/>
      <c r="G10" s="9">
        <f t="shared" si="0"/>
        <v>1.7417080534002043</v>
      </c>
      <c r="H10" s="9">
        <f t="shared" si="1"/>
        <v>1.7417080534002043</v>
      </c>
      <c r="J10" s="29"/>
      <c r="K10" s="29"/>
      <c r="L10" s="30"/>
    </row>
    <row r="11" spans="1:12" x14ac:dyDescent="0.2">
      <c r="A11" s="31">
        <v>10</v>
      </c>
      <c r="B11" s="34">
        <v>266.94598999999999</v>
      </c>
      <c r="C11" s="30">
        <v>31.48667</v>
      </c>
      <c r="D11" s="30">
        <v>1.0096099999999999</v>
      </c>
      <c r="E11" s="29"/>
      <c r="F11" s="29"/>
      <c r="G11" s="35">
        <f t="shared" si="0"/>
        <v>1.9045881718980686</v>
      </c>
      <c r="H11" s="118">
        <f t="shared" si="1"/>
        <v>1.9045881718980686</v>
      </c>
      <c r="J11" s="29"/>
      <c r="K11" s="29"/>
      <c r="L11" s="30"/>
    </row>
    <row r="12" spans="1:12" x14ac:dyDescent="0.2">
      <c r="A12" s="31">
        <v>25</v>
      </c>
      <c r="B12" s="34">
        <v>279.19853000000001</v>
      </c>
      <c r="C12" s="30">
        <v>29.675370000000001</v>
      </c>
      <c r="D12" s="30">
        <v>0.99790000000000001</v>
      </c>
      <c r="E12" s="29"/>
      <c r="F12" s="29"/>
      <c r="G12" s="9">
        <f t="shared" si="0"/>
        <v>2.138449857187426</v>
      </c>
      <c r="H12" s="9">
        <f t="shared" si="1"/>
        <v>2.138449857187426</v>
      </c>
      <c r="J12" s="29"/>
      <c r="K12" s="29"/>
      <c r="L12" s="30"/>
    </row>
    <row r="13" spans="1:12" x14ac:dyDescent="0.2">
      <c r="A13" s="31">
        <v>50</v>
      </c>
      <c r="B13" s="34">
        <v>287.71203000000003</v>
      </c>
      <c r="C13" s="30">
        <v>28.41133</v>
      </c>
      <c r="D13" s="30">
        <v>0.98975000000000002</v>
      </c>
      <c r="E13" s="29"/>
      <c r="F13" s="29"/>
      <c r="G13" s="9">
        <f t="shared" si="0"/>
        <v>2.3150646179624887</v>
      </c>
      <c r="H13" s="9">
        <f t="shared" si="1"/>
        <v>2.3150646179624887</v>
      </c>
    </row>
    <row r="14" spans="1:12" x14ac:dyDescent="0.2">
      <c r="A14" s="31">
        <v>100</v>
      </c>
      <c r="B14" s="34">
        <v>295.76549999999997</v>
      </c>
      <c r="C14" s="30">
        <v>27.18778</v>
      </c>
      <c r="D14" s="30">
        <v>0.98197999999999996</v>
      </c>
      <c r="E14" s="29"/>
      <c r="F14" s="29"/>
      <c r="G14" s="9">
        <f t="shared" si="0"/>
        <v>2.4946381278916343</v>
      </c>
      <c r="H14" s="9">
        <f t="shared" si="1"/>
        <v>2.4946381278916343</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7" t="s">
        <v>141</v>
      </c>
      <c r="B1" s="207"/>
      <c r="C1" s="207"/>
      <c r="D1" s="207"/>
      <c r="E1" s="207"/>
      <c r="F1" s="207"/>
      <c r="G1" s="207"/>
      <c r="H1" s="207"/>
    </row>
    <row r="2" spans="1:12" x14ac:dyDescent="0.2">
      <c r="A2" s="208" t="s">
        <v>151</v>
      </c>
      <c r="B2" s="209"/>
      <c r="C2" s="209"/>
      <c r="D2" s="209"/>
      <c r="E2" s="209"/>
      <c r="F2" s="209"/>
      <c r="G2" s="209"/>
      <c r="H2" s="209"/>
    </row>
    <row r="3" spans="1:12" x14ac:dyDescent="0.2">
      <c r="A3" s="28"/>
      <c r="B3" s="29"/>
      <c r="C3" s="29"/>
      <c r="D3" s="29"/>
      <c r="E3" s="29"/>
      <c r="F3" s="29"/>
      <c r="G3" s="29"/>
      <c r="H3" s="29"/>
    </row>
    <row r="4" spans="1:12" ht="13.5" x14ac:dyDescent="0.25">
      <c r="A4" s="210" t="s">
        <v>142</v>
      </c>
      <c r="B4" s="211"/>
      <c r="C4" s="211"/>
      <c r="D4" s="117">
        <f>'tc-pre'!F48</f>
        <v>102.23125726973646</v>
      </c>
      <c r="E4" s="29" t="s">
        <v>143</v>
      </c>
      <c r="F4" s="29"/>
      <c r="G4" s="29"/>
      <c r="H4" s="29"/>
      <c r="J4" s="206"/>
      <c r="K4" s="206"/>
      <c r="L4" s="206"/>
    </row>
    <row r="5" spans="1:12" x14ac:dyDescent="0.2">
      <c r="A5" s="210" t="s">
        <v>144</v>
      </c>
      <c r="B5" s="211"/>
      <c r="C5" s="211"/>
      <c r="D5" s="117">
        <f>'tc-post'!F47</f>
        <v>102.23125726973646</v>
      </c>
      <c r="E5" s="29" t="s">
        <v>143</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145</v>
      </c>
      <c r="H7" s="30" t="s">
        <v>146</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1.4460048319869037</v>
      </c>
      <c r="H9" s="9">
        <f t="shared" ref="H9:H14" si="1">B9/(C9+$D$5)^D9</f>
        <v>1.4460048319869037</v>
      </c>
      <c r="J9" s="29"/>
      <c r="K9" s="29"/>
      <c r="L9" s="30"/>
    </row>
    <row r="10" spans="1:12" x14ac:dyDescent="0.2">
      <c r="A10" s="31">
        <v>5</v>
      </c>
      <c r="B10" s="34">
        <v>254.34352000000001</v>
      </c>
      <c r="C10" s="30">
        <v>33.392789999999998</v>
      </c>
      <c r="D10" s="30">
        <v>1.02176</v>
      </c>
      <c r="E10" s="29"/>
      <c r="F10" s="29"/>
      <c r="G10" s="9">
        <f t="shared" si="0"/>
        <v>1.685327589642674</v>
      </c>
      <c r="H10" s="9">
        <f t="shared" si="1"/>
        <v>1.685327589642674</v>
      </c>
      <c r="J10" s="29"/>
      <c r="K10" s="29"/>
      <c r="L10" s="30"/>
    </row>
    <row r="11" spans="1:12" x14ac:dyDescent="0.2">
      <c r="A11" s="31">
        <v>10</v>
      </c>
      <c r="B11" s="34">
        <v>264.4948</v>
      </c>
      <c r="C11" s="30">
        <v>31.854520000000001</v>
      </c>
      <c r="D11" s="30">
        <v>1.01196</v>
      </c>
      <c r="E11" s="29"/>
      <c r="F11" s="29"/>
      <c r="G11" s="35">
        <f t="shared" si="0"/>
        <v>1.8603340155133521</v>
      </c>
      <c r="H11" s="118">
        <f t="shared" si="1"/>
        <v>1.8603340155133521</v>
      </c>
      <c r="J11" s="29"/>
      <c r="K11" s="29"/>
      <c r="L11" s="30"/>
    </row>
    <row r="12" spans="1:12" x14ac:dyDescent="0.2">
      <c r="A12" s="31">
        <v>25</v>
      </c>
      <c r="B12" s="34">
        <v>277.53223000000003</v>
      </c>
      <c r="C12" s="30">
        <v>29.921430000000001</v>
      </c>
      <c r="D12" s="30">
        <v>0.99948999999999999</v>
      </c>
      <c r="E12" s="29"/>
      <c r="F12" s="29"/>
      <c r="G12" s="9">
        <f t="shared" si="0"/>
        <v>2.1053251343163386</v>
      </c>
      <c r="H12" s="9">
        <f t="shared" si="1"/>
        <v>2.1053251343163386</v>
      </c>
      <c r="J12" s="29"/>
      <c r="K12" s="29"/>
      <c r="L12" s="30"/>
    </row>
    <row r="13" spans="1:12" x14ac:dyDescent="0.2">
      <c r="A13" s="31">
        <v>50</v>
      </c>
      <c r="B13" s="34">
        <v>286.92505999999997</v>
      </c>
      <c r="C13" s="30">
        <v>28.528970000000001</v>
      </c>
      <c r="D13" s="30">
        <v>0.99051</v>
      </c>
      <c r="E13" s="29"/>
      <c r="F13" s="29"/>
      <c r="G13" s="9">
        <f t="shared" si="0"/>
        <v>2.2981489249180682</v>
      </c>
      <c r="H13" s="9">
        <f t="shared" si="1"/>
        <v>2.2981489249180682</v>
      </c>
    </row>
    <row r="14" spans="1:12" x14ac:dyDescent="0.2">
      <c r="A14" s="31">
        <v>100</v>
      </c>
      <c r="B14" s="34">
        <v>295.10935000000001</v>
      </c>
      <c r="C14" s="30">
        <v>27.28867</v>
      </c>
      <c r="D14" s="30">
        <v>0.98262000000000005</v>
      </c>
      <c r="E14" s="29"/>
      <c r="F14" s="29"/>
      <c r="G14" s="9">
        <f t="shared" si="0"/>
        <v>2.4794695984413075</v>
      </c>
      <c r="H14" s="9">
        <f t="shared" si="1"/>
        <v>2.4794695984413075</v>
      </c>
    </row>
    <row r="17" spans="1:8" x14ac:dyDescent="0.2">
      <c r="A17" s="119"/>
      <c r="B17" s="119"/>
      <c r="C17" s="119"/>
      <c r="D17" s="119"/>
      <c r="E17" s="119"/>
      <c r="F17" s="119"/>
      <c r="G17" s="119"/>
      <c r="H17" s="108"/>
    </row>
    <row r="18" spans="1:8" x14ac:dyDescent="0.2">
      <c r="A18" s="206" t="s">
        <v>72</v>
      </c>
      <c r="B18" s="206"/>
      <c r="C18" s="206"/>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2015-08-31T16:56:26Z</cp:lastPrinted>
  <dcterms:created xsi:type="dcterms:W3CDTF">2003-04-14T14:27:53Z</dcterms:created>
  <dcterms:modified xsi:type="dcterms:W3CDTF">2015-08-31T16:57:15Z</dcterms:modified>
</cp:coreProperties>
</file>