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06" documentId="8_{E5643C7D-51FD-42C5-84D5-E20B375CF40F}" xr6:coauthVersionLast="47" xr6:coauthVersionMax="47" xr10:uidLastSave="{B46C5703-36D1-4446-8E70-F0E312231CA4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 l="1"/>
  <c r="O2" i="3"/>
  <c r="K25" i="1" l="1"/>
  <c r="J25" i="1"/>
  <c r="O6" i="3" l="1"/>
  <c r="M23" i="1"/>
  <c r="N23" i="1" s="1"/>
  <c r="M20" i="1"/>
  <c r="N20" i="1" s="1"/>
  <c r="M21" i="1"/>
  <c r="N21" i="1" s="1"/>
  <c r="M22" i="1"/>
  <c r="N22" i="1" s="1"/>
  <c r="M24" i="1"/>
  <c r="N24" i="1" s="1"/>
  <c r="M25" i="1"/>
  <c r="N25" i="1" s="1"/>
  <c r="M26" i="1"/>
  <c r="N26" i="1" s="1"/>
  <c r="M27" i="1"/>
  <c r="N27" i="1" s="1"/>
  <c r="M28" i="1"/>
  <c r="N28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X14" i="3"/>
  <c r="X15" i="3"/>
  <c r="X16" i="3"/>
  <c r="X17" i="3"/>
  <c r="X18" i="3"/>
  <c r="X19" i="3"/>
  <c r="X20" i="3"/>
  <c r="X21" i="3"/>
  <c r="H20" i="1" l="1"/>
  <c r="H22" i="1"/>
  <c r="H24" i="1"/>
  <c r="H26" i="1"/>
  <c r="H28" i="1"/>
  <c r="L20" i="1"/>
  <c r="G13" i="3" s="1"/>
  <c r="H21" i="1"/>
  <c r="L21" i="1"/>
  <c r="G14" i="3" s="1"/>
  <c r="L22" i="1"/>
  <c r="G15" i="3" s="1"/>
  <c r="H23" i="1"/>
  <c r="L23" i="1"/>
  <c r="G16" i="3" s="1"/>
  <c r="L24" i="1"/>
  <c r="G17" i="3" s="1"/>
  <c r="H25" i="1"/>
  <c r="L25" i="1"/>
  <c r="G18" i="3" s="1"/>
  <c r="L26" i="1"/>
  <c r="G19" i="3" s="1"/>
  <c r="H27" i="1"/>
  <c r="L27" i="1"/>
  <c r="G20" i="3" s="1"/>
  <c r="L28" i="1"/>
  <c r="G21" i="3" s="1"/>
  <c r="L17" i="1"/>
  <c r="G10" i="3" s="1"/>
  <c r="L19" i="1"/>
  <c r="G12" i="3" s="1"/>
  <c r="L18" i="1"/>
  <c r="G11" i="3" s="1"/>
  <c r="H19" i="1"/>
  <c r="H17" i="1"/>
  <c r="H18" i="1"/>
  <c r="AB9" i="1" l="1"/>
  <c r="W9" i="1"/>
  <c r="D11" i="3"/>
  <c r="D12" i="3"/>
  <c r="D13" i="3"/>
  <c r="D14" i="3"/>
  <c r="D15" i="3"/>
  <c r="D16" i="3"/>
  <c r="D17" i="3"/>
  <c r="D18" i="3"/>
  <c r="D19" i="3"/>
  <c r="D20" i="3"/>
  <c r="D21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I21" i="1" l="1"/>
  <c r="I23" i="1"/>
  <c r="I25" i="1"/>
  <c r="I27" i="1"/>
  <c r="I20" i="1"/>
  <c r="I22" i="1"/>
  <c r="I24" i="1"/>
  <c r="I26" i="1"/>
  <c r="I28" i="1"/>
  <c r="I17" i="1"/>
  <c r="I18" i="1"/>
  <c r="I19" i="1"/>
  <c r="H11" i="3"/>
  <c r="H16" i="3"/>
  <c r="I19" i="3"/>
  <c r="I15" i="3"/>
  <c r="H18" i="3"/>
  <c r="H14" i="3"/>
  <c r="H12" i="3"/>
  <c r="I21" i="3"/>
  <c r="H21" i="3"/>
  <c r="H20" i="3"/>
  <c r="H19" i="3"/>
  <c r="H17" i="3"/>
  <c r="H15" i="3"/>
  <c r="I13" i="3"/>
  <c r="I17" i="3"/>
  <c r="I18" i="3"/>
  <c r="I14" i="3"/>
  <c r="I20" i="3"/>
  <c r="I16" i="3"/>
  <c r="I12" i="3"/>
  <c r="I11" i="3"/>
  <c r="I10" i="3"/>
  <c r="K24" i="1" l="1"/>
  <c r="J24" i="1"/>
  <c r="K28" i="1"/>
  <c r="J28" i="1"/>
  <c r="K26" i="1"/>
  <c r="J26" i="1"/>
  <c r="K22" i="1"/>
  <c r="J22" i="1"/>
  <c r="K20" i="1"/>
  <c r="J20" i="1"/>
  <c r="K27" i="1"/>
  <c r="J27" i="1"/>
  <c r="K18" i="1"/>
  <c r="J18" i="1"/>
  <c r="K19" i="1"/>
  <c r="J19" i="1"/>
  <c r="K17" i="1"/>
  <c r="J17" i="1"/>
  <c r="K23" i="1"/>
  <c r="J23" i="1"/>
  <c r="K21" i="1"/>
  <c r="J21" i="1"/>
  <c r="F14" i="3"/>
  <c r="E14" i="3"/>
  <c r="E10" i="3"/>
  <c r="T20" i="1" l="1"/>
  <c r="AA20" i="1" s="1"/>
  <c r="AG20" i="1" s="1"/>
  <c r="T24" i="1"/>
  <c r="AA24" i="1" s="1"/>
  <c r="AG24" i="1" s="1"/>
  <c r="T28" i="1"/>
  <c r="AA28" i="1" s="1"/>
  <c r="AG28" i="1" s="1"/>
  <c r="T26" i="1"/>
  <c r="AA26" i="1" s="1"/>
  <c r="AG26" i="1" s="1"/>
  <c r="T25" i="1"/>
  <c r="AA25" i="1" s="1"/>
  <c r="AG25" i="1" s="1"/>
  <c r="V25" i="1"/>
  <c r="T23" i="1"/>
  <c r="AA23" i="1" s="1"/>
  <c r="AG23" i="1" s="1"/>
  <c r="V23" i="1"/>
  <c r="Q16" i="3" s="1"/>
  <c r="T27" i="1"/>
  <c r="AA27" i="1" s="1"/>
  <c r="AG27" i="1" s="1"/>
  <c r="V27" i="1"/>
  <c r="Q20" i="3" s="1"/>
  <c r="T22" i="1"/>
  <c r="F15" i="3"/>
  <c r="T21" i="1"/>
  <c r="V21" i="1"/>
  <c r="Q14" i="3" s="1"/>
  <c r="V20" i="1"/>
  <c r="V24" i="1"/>
  <c r="Q17" i="3" s="1"/>
  <c r="V28" i="1"/>
  <c r="Q21" i="3" s="1"/>
  <c r="V22" i="1"/>
  <c r="Q15" i="3" s="1"/>
  <c r="V26" i="1"/>
  <c r="Q19" i="3" s="1"/>
  <c r="E15" i="3"/>
  <c r="T18" i="1"/>
  <c r="F11" i="3"/>
  <c r="T19" i="1"/>
  <c r="F12" i="3"/>
  <c r="F19" i="3"/>
  <c r="V19" i="1"/>
  <c r="E13" i="3"/>
  <c r="V17" i="1"/>
  <c r="Q10" i="3" s="1"/>
  <c r="F16" i="3"/>
  <c r="F17" i="3"/>
  <c r="F18" i="3"/>
  <c r="F20" i="3"/>
  <c r="F21" i="3"/>
  <c r="E21" i="3"/>
  <c r="V18" i="1"/>
  <c r="T17" i="1"/>
  <c r="F10" i="3"/>
  <c r="E20" i="3"/>
  <c r="E19" i="3"/>
  <c r="E17" i="3"/>
  <c r="E16" i="3"/>
  <c r="E12" i="3"/>
  <c r="E18" i="3"/>
  <c r="F13" i="3"/>
  <c r="E11" i="3"/>
  <c r="O10" i="3" l="1"/>
  <c r="Z17" i="1"/>
  <c r="O13" i="3"/>
  <c r="O18" i="3"/>
  <c r="O20" i="3"/>
  <c r="O19" i="3"/>
  <c r="O17" i="3"/>
  <c r="AE26" i="1"/>
  <c r="AA19" i="3" s="1"/>
  <c r="O26" i="1"/>
  <c r="J19" i="3" s="1"/>
  <c r="AE28" i="1"/>
  <c r="AA21" i="3" s="1"/>
  <c r="O28" i="1"/>
  <c r="J21" i="3" s="1"/>
  <c r="O20" i="1"/>
  <c r="J13" i="3" s="1"/>
  <c r="AE20" i="1"/>
  <c r="AA13" i="3" s="1"/>
  <c r="AE21" i="1"/>
  <c r="AA14" i="3" s="1"/>
  <c r="O21" i="1"/>
  <c r="J14" i="3" s="1"/>
  <c r="O27" i="1"/>
  <c r="J20" i="3" s="1"/>
  <c r="AE27" i="1"/>
  <c r="AA20" i="3" s="1"/>
  <c r="O23" i="1"/>
  <c r="J16" i="3" s="1"/>
  <c r="AE23" i="1"/>
  <c r="AA16" i="3" s="1"/>
  <c r="AE25" i="1"/>
  <c r="AA18" i="3" s="1"/>
  <c r="O25" i="1"/>
  <c r="J18" i="3" s="1"/>
  <c r="AE22" i="1"/>
  <c r="AA15" i="3" s="1"/>
  <c r="O22" i="1"/>
  <c r="J15" i="3" s="1"/>
  <c r="AE24" i="1"/>
  <c r="AA17" i="3" s="1"/>
  <c r="O24" i="1"/>
  <c r="J17" i="3" s="1"/>
  <c r="AA21" i="1"/>
  <c r="O14" i="3"/>
  <c r="AA22" i="1"/>
  <c r="O15" i="3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AC19" i="3"/>
  <c r="Q12" i="3"/>
  <c r="O21" i="3"/>
  <c r="AA17" i="1"/>
  <c r="AG17" i="1" s="1"/>
  <c r="AC10" i="3" s="1"/>
  <c r="AC20" i="3"/>
  <c r="Q18" i="3"/>
  <c r="O12" i="3"/>
  <c r="O16" i="3"/>
  <c r="Q11" i="3"/>
  <c r="O11" i="3"/>
  <c r="V19" i="3"/>
  <c r="AC18" i="3"/>
  <c r="AC13" i="3"/>
  <c r="V13" i="3"/>
  <c r="AC21" i="3"/>
  <c r="AG22" i="1" l="1"/>
  <c r="AC15" i="3" s="1"/>
  <c r="V15" i="3"/>
  <c r="AG21" i="1"/>
  <c r="AC14" i="3" s="1"/>
  <c r="V14" i="3"/>
  <c r="V20" i="3"/>
  <c r="V21" i="3"/>
  <c r="P17" i="1"/>
  <c r="K10" i="3" s="1"/>
  <c r="J10" i="3"/>
  <c r="V18" i="3"/>
  <c r="AC17" i="3"/>
  <c r="V17" i="3"/>
  <c r="V10" i="3"/>
  <c r="V16" i="3"/>
  <c r="AC16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P21" i="1" l="1"/>
  <c r="Q20" i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U20" i="1" l="1"/>
  <c r="AC20" i="1" s="1"/>
  <c r="AD20" i="1" s="1"/>
  <c r="AH20" i="1" s="1"/>
  <c r="X20" i="1"/>
  <c r="Q21" i="1"/>
  <c r="S21" i="1" s="1"/>
  <c r="R21" i="1"/>
  <c r="P22" i="1"/>
  <c r="AF17" i="1"/>
  <c r="AB10" i="3" s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U21" i="1"/>
  <c r="AB21" i="1" s="1"/>
  <c r="X21" i="1"/>
  <c r="S14" i="3" s="1"/>
  <c r="Y20" i="1"/>
  <c r="W20" i="1"/>
  <c r="P23" i="1"/>
  <c r="Q22" i="1"/>
  <c r="S22" i="1" s="1"/>
  <c r="R22" i="1"/>
  <c r="U10" i="3"/>
  <c r="X19" i="1"/>
  <c r="S12" i="3" s="1"/>
  <c r="M14" i="3"/>
  <c r="K14" i="3"/>
  <c r="U19" i="1"/>
  <c r="N12" i="3"/>
  <c r="AD17" i="1"/>
  <c r="Y10" i="3"/>
  <c r="Y11" i="3"/>
  <c r="AF18" i="1"/>
  <c r="AB11" i="3" s="1"/>
  <c r="U11" i="3"/>
  <c r="L13" i="3"/>
  <c r="AD11" i="3"/>
  <c r="Z11" i="3"/>
  <c r="AC21" i="1" l="1"/>
  <c r="AD21" i="1" s="1"/>
  <c r="AH21" i="1" s="1"/>
  <c r="U22" i="1"/>
  <c r="AC22" i="1" s="1"/>
  <c r="AD22" i="1" s="1"/>
  <c r="AH22" i="1" s="1"/>
  <c r="X22" i="1"/>
  <c r="S15" i="3" s="1"/>
  <c r="W21" i="1"/>
  <c r="R14" i="3" s="1"/>
  <c r="Y21" i="1"/>
  <c r="T14" i="3" s="1"/>
  <c r="Z21" i="1"/>
  <c r="AF21" i="1" s="1"/>
  <c r="AB14" i="3" s="1"/>
  <c r="Q23" i="1"/>
  <c r="S23" i="1" s="1"/>
  <c r="R23" i="1"/>
  <c r="P24" i="1"/>
  <c r="Z19" i="1"/>
  <c r="AF19" i="1" s="1"/>
  <c r="AB12" i="3" s="1"/>
  <c r="AB19" i="1"/>
  <c r="W12" i="3" s="1"/>
  <c r="Y19" i="1"/>
  <c r="T12" i="3" s="1"/>
  <c r="W19" i="1"/>
  <c r="R12" i="3" s="1"/>
  <c r="S13" i="3"/>
  <c r="N13" i="3"/>
  <c r="M15" i="3"/>
  <c r="K15" i="3"/>
  <c r="AH17" i="1"/>
  <c r="AD10" i="3" s="1"/>
  <c r="Z10" i="3"/>
  <c r="L14" i="3"/>
  <c r="AC19" i="1"/>
  <c r="P12" i="3"/>
  <c r="Z22" i="1" l="1"/>
  <c r="AB22" i="1"/>
  <c r="U14" i="3"/>
  <c r="U23" i="1"/>
  <c r="Z23" i="1" s="1"/>
  <c r="AF23" i="1" s="1"/>
  <c r="AB16" i="3" s="1"/>
  <c r="X23" i="1"/>
  <c r="S16" i="3" s="1"/>
  <c r="Y22" i="1"/>
  <c r="T15" i="3" s="1"/>
  <c r="W22" i="1"/>
  <c r="R15" i="3" s="1"/>
  <c r="P25" i="1"/>
  <c r="Q24" i="1"/>
  <c r="S24" i="1" s="1"/>
  <c r="R24" i="1"/>
  <c r="U12" i="3"/>
  <c r="AD19" i="1"/>
  <c r="Y12" i="3"/>
  <c r="M16" i="3"/>
  <c r="K16" i="3"/>
  <c r="N14" i="3"/>
  <c r="L15" i="3"/>
  <c r="R13" i="3"/>
  <c r="T13" i="3"/>
  <c r="P13" i="3"/>
  <c r="AB23" i="1" l="1"/>
  <c r="AF22" i="1"/>
  <c r="AB15" i="3" s="1"/>
  <c r="U15" i="3"/>
  <c r="AC23" i="1"/>
  <c r="AD23" i="1" s="1"/>
  <c r="AH23" i="1" s="1"/>
  <c r="U24" i="1"/>
  <c r="AC24" i="1" s="1"/>
  <c r="AD24" i="1" s="1"/>
  <c r="AH24" i="1" s="1"/>
  <c r="X24" i="1"/>
  <c r="Y23" i="1"/>
  <c r="T16" i="3" s="1"/>
  <c r="W23" i="1"/>
  <c r="R16" i="3" s="1"/>
  <c r="Q25" i="1"/>
  <c r="S25" i="1" s="1"/>
  <c r="R25" i="1"/>
  <c r="P26" i="1"/>
  <c r="AB24" i="1"/>
  <c r="W17" i="3" s="1"/>
  <c r="W14" i="3"/>
  <c r="P14" i="3"/>
  <c r="L16" i="3"/>
  <c r="AB13" i="3"/>
  <c r="U13" i="3"/>
  <c r="M17" i="3"/>
  <c r="K17" i="3"/>
  <c r="Y13" i="3"/>
  <c r="N15" i="3"/>
  <c r="AH19" i="1"/>
  <c r="AD12" i="3" s="1"/>
  <c r="Z12" i="3"/>
  <c r="U16" i="3"/>
  <c r="Z24" i="1" l="1"/>
  <c r="AF24" i="1" s="1"/>
  <c r="U25" i="1"/>
  <c r="Z25" i="1" s="1"/>
  <c r="AF25" i="1" s="1"/>
  <c r="X25" i="1"/>
  <c r="W24" i="1"/>
  <c r="Y24" i="1"/>
  <c r="AB25" i="1"/>
  <c r="W18" i="3" s="1"/>
  <c r="P27" i="1"/>
  <c r="Q26" i="1"/>
  <c r="S26" i="1" s="1"/>
  <c r="R26" i="1"/>
  <c r="W15" i="3"/>
  <c r="P15" i="3"/>
  <c r="AD13" i="3"/>
  <c r="Z13" i="3"/>
  <c r="M18" i="3"/>
  <c r="K18" i="3"/>
  <c r="W16" i="3"/>
  <c r="N16" i="3"/>
  <c r="Y14" i="3"/>
  <c r="L17" i="3"/>
  <c r="AC25" i="1" l="1"/>
  <c r="AD25" i="1" s="1"/>
  <c r="AH25" i="1" s="1"/>
  <c r="U26" i="1"/>
  <c r="Z26" i="1" s="1"/>
  <c r="AF26" i="1" s="1"/>
  <c r="X26" i="1"/>
  <c r="Y25" i="1"/>
  <c r="W25" i="1"/>
  <c r="AB26" i="1"/>
  <c r="W19" i="3" s="1"/>
  <c r="R27" i="1"/>
  <c r="P28" i="1"/>
  <c r="Q27" i="1"/>
  <c r="S27" i="1" s="1"/>
  <c r="AD14" i="3"/>
  <c r="Z14" i="3"/>
  <c r="L18" i="3"/>
  <c r="M19" i="3"/>
  <c r="K19" i="3"/>
  <c r="S17" i="3"/>
  <c r="N17" i="3"/>
  <c r="P16" i="3"/>
  <c r="Y15" i="3"/>
  <c r="AC26" i="1" l="1"/>
  <c r="AD26" i="1" s="1"/>
  <c r="AH26" i="1" s="1"/>
  <c r="U27" i="1"/>
  <c r="Z27" i="1" s="1"/>
  <c r="AF27" i="1" s="1"/>
  <c r="X27" i="1"/>
  <c r="W26" i="1"/>
  <c r="Y26" i="1"/>
  <c r="Q28" i="1"/>
  <c r="S28" i="1" s="1"/>
  <c r="R28" i="1"/>
  <c r="AD15" i="3"/>
  <c r="Z15" i="3"/>
  <c r="T17" i="3"/>
  <c r="R17" i="3"/>
  <c r="P17" i="3"/>
  <c r="L19" i="3"/>
  <c r="Y16" i="3"/>
  <c r="M20" i="3"/>
  <c r="K20" i="3"/>
  <c r="S18" i="3"/>
  <c r="N18" i="3"/>
  <c r="AB27" i="1" l="1"/>
  <c r="W20" i="3" s="1"/>
  <c r="AC27" i="1"/>
  <c r="AD27" i="1" s="1"/>
  <c r="AH27" i="1" s="1"/>
  <c r="U28" i="1"/>
  <c r="AC28" i="1" s="1"/>
  <c r="AD28" i="1" s="1"/>
  <c r="AH28" i="1" s="1"/>
  <c r="X28" i="1"/>
  <c r="Y27" i="1"/>
  <c r="W27" i="1"/>
  <c r="AB18" i="3"/>
  <c r="U18" i="3"/>
  <c r="L20" i="3"/>
  <c r="AD16" i="3"/>
  <c r="Z16" i="3"/>
  <c r="R18" i="3"/>
  <c r="T18" i="3"/>
  <c r="P18" i="3"/>
  <c r="Y17" i="3"/>
  <c r="M21" i="3"/>
  <c r="K21" i="3"/>
  <c r="S19" i="3"/>
  <c r="N19" i="3"/>
  <c r="AB17" i="3"/>
  <c r="U17" i="3"/>
  <c r="AB28" i="1" l="1"/>
  <c r="W21" i="3" s="1"/>
  <c r="Z28" i="1"/>
  <c r="AF28" i="1" s="1"/>
  <c r="Y28" i="1"/>
  <c r="W28" i="1"/>
  <c r="Y18" i="3"/>
  <c r="AD17" i="3"/>
  <c r="Z17" i="3"/>
  <c r="S20" i="3"/>
  <c r="N20" i="3"/>
  <c r="T19" i="3"/>
  <c r="R19" i="3"/>
  <c r="P19" i="3"/>
  <c r="L21" i="3"/>
  <c r="Y19" i="3" l="1"/>
  <c r="AB20" i="3"/>
  <c r="U20" i="3"/>
  <c r="S21" i="3"/>
  <c r="N21" i="3"/>
  <c r="AB19" i="3"/>
  <c r="U19" i="3"/>
  <c r="R20" i="3"/>
  <c r="T20" i="3"/>
  <c r="P20" i="3"/>
  <c r="AD18" i="3"/>
  <c r="Z18" i="3"/>
  <c r="T21" i="3" l="1"/>
  <c r="R21" i="3"/>
  <c r="P21" i="3"/>
  <c r="Y20" i="3"/>
  <c r="AD19" i="3"/>
  <c r="Z19" i="3"/>
  <c r="AB21" i="3" l="1"/>
  <c r="U21" i="3"/>
  <c r="AD20" i="3"/>
  <c r="Z20" i="3"/>
  <c r="Y21" i="3"/>
  <c r="AD21" i="3" l="1"/>
  <c r="Z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<sst xmlns="http://schemas.openxmlformats.org/spreadsheetml/2006/main" count="187" uniqueCount="82">
  <si>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</si>
  <si>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</si>
  <si>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</si>
  <si>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</si>
  <si>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</si>
  <si>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</si>
  <si>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</si>
  <si>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</si>
  <si>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</si>
  <si>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</si>
  <si>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</si>
  <si>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</si>
  <si>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</si>
  <si>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</si>
  <si>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</si>
  <si>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</si>
  <si>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</si>
  <si>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</si>
  <si>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</si>
  <si>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</si>
  <si>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</si>
  <si>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</si>
  <si>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</si>
  <si>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</si>
  <si>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</si>
  <si>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</si>
  <si>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</si>
  <si>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</si>
  <si>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</si>
  <si>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</si>
  <si>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</si>
  <si>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</si>
  <si>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</si>
  <si>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</si>
  <si>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</si>
  <si>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</si>
  <si>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</si>
  <si>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</si>
  <si>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</si>
  <si>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</si>
  <si>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</si>
  <si>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</si>
  <si>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</si>
  <si>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</si>
  <si>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</si>
  <si>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</si>
  <si>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</si>
  <si>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</si>
  <si>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</si>
  <si>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</si>
  <si>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</si>
  <si>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</si>
  <si>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</si>
  <si>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</si>
  <si>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</si>
  <si>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</si>
  <si>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</si>
  <si>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</si>
  <si>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</si>
  <si>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</si>
  <si>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</si>
  <si>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</si>
  <si>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</si>
  <si>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</si>
  <si>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</si>
  <si>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</si>
  <si>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</si>
  <si>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</si>
  <si>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</si>
  <si>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</si>
  <si>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</si>
  <si>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</si>
  <si>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</si>
  <si>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</si>
  <si>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DMT-1</t>
  </si>
  <si>
    <t>Y</t>
  </si>
  <si>
    <t>Elevation:</t>
  </si>
  <si>
    <t>Station:</t>
  </si>
  <si>
    <t>Offset (ft):</t>
  </si>
  <si>
    <t>Elevation (ft):</t>
  </si>
  <si>
    <t>45+79.26</t>
  </si>
  <si>
    <t>RT 7.15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</si>
</sst>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  <xf numFmtId="0" fontId="3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3.3439490445859863</c:v>
                </c:pt>
                <c:pt idx="1">
                  <c:v>6.1546887523376972</c:v>
                </c:pt>
                <c:pt idx="2">
                  <c:v>0.86514963010209012</c:v>
                </c:pt>
                <c:pt idx="3">
                  <c:v>1.9726194229008107</c:v>
                </c:pt>
                <c:pt idx="4">
                  <c:v>1.0192195229239249</c:v>
                </c:pt>
                <c:pt idx="5">
                  <c:v>2.442742851296781</c:v>
                </c:pt>
                <c:pt idx="6">
                  <c:v>2.7852892263248772</c:v>
                </c:pt>
                <c:pt idx="7">
                  <c:v>0.90758886987361187</c:v>
                </c:pt>
                <c:pt idx="8">
                  <c:v>-99</c:v>
                </c:pt>
                <c:pt idx="9">
                  <c:v>1.6009747585674803</c:v>
                </c:pt>
                <c:pt idx="10">
                  <c:v>4.0438104358905527</c:v>
                </c:pt>
                <c:pt idx="11">
                  <c:v>3.0070996861819843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12.17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12.17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12.17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555.96056962157695</c:v>
                </c:pt>
                <c:pt idx="1">
                  <c:v>2544.252596790865</c:v>
                </c:pt>
                <c:pt idx="2">
                  <c:v>1808.5998617245987</c:v>
                </c:pt>
                <c:pt idx="3">
                  <c:v>2021.0590365126066</c:v>
                </c:pt>
                <c:pt idx="4">
                  <c:v>1606.0780127502449</c:v>
                </c:pt>
                <c:pt idx="5">
                  <c:v>1634.2471054827192</c:v>
                </c:pt>
                <c:pt idx="6">
                  <c:v>1086.1548070329529</c:v>
                </c:pt>
                <c:pt idx="7">
                  <c:v>430.40172578178016</c:v>
                </c:pt>
                <c:pt idx="8">
                  <c:v>-99</c:v>
                </c:pt>
                <c:pt idx="9">
                  <c:v>890.07207274604707</c:v>
                </c:pt>
                <c:pt idx="10">
                  <c:v>1142.2092246912212</c:v>
                </c:pt>
                <c:pt idx="11">
                  <c:v>2201.5312489692424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23.823477239169261</c:v>
                </c:pt>
                <c:pt idx="3">
                  <c:v>-99</c:v>
                </c:pt>
                <c:pt idx="4">
                  <c:v>14.911939320325949</c:v>
                </c:pt>
                <c:pt idx="5">
                  <c:v>-99</c:v>
                </c:pt>
                <c:pt idx="6">
                  <c:v>-99</c:v>
                </c:pt>
                <c:pt idx="7">
                  <c:v>4.7852022670332337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136.78595329655838</c:v>
                </c:pt>
                <c:pt idx="3">
                  <c:v>-99</c:v>
                </c:pt>
                <c:pt idx="4">
                  <c:v>65.860755103905092</c:v>
                </c:pt>
                <c:pt idx="5">
                  <c:v>-99</c:v>
                </c:pt>
                <c:pt idx="6">
                  <c:v>-99</c:v>
                </c:pt>
                <c:pt idx="7">
                  <c:v>11.182989935181025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3679.5876175529024</c:v>
                </c:pt>
                <c:pt idx="3">
                  <c:v>-99</c:v>
                </c:pt>
                <c:pt idx="4">
                  <c:v>2778.144848716373</c:v>
                </c:pt>
                <c:pt idx="5">
                  <c:v>-99</c:v>
                </c:pt>
                <c:pt idx="6">
                  <c:v>-99</c:v>
                </c:pt>
                <c:pt idx="7">
                  <c:v>907.94958737906097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1520.8700948583128</c:v>
                </c:pt>
                <c:pt idx="3">
                  <c:v>-99</c:v>
                </c:pt>
                <c:pt idx="4">
                  <c:v>1290.9684031809998</c:v>
                </c:pt>
                <c:pt idx="5">
                  <c:v>-99</c:v>
                </c:pt>
                <c:pt idx="6">
                  <c:v>-99</c:v>
                </c:pt>
                <c:pt idx="7">
                  <c:v>560.57137861425031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42.436359338337965</c:v>
                </c:pt>
                <c:pt idx="1">
                  <c:v>42.980923054989724</c:v>
                </c:pt>
                <c:pt idx="2">
                  <c:v>-99</c:v>
                </c:pt>
                <c:pt idx="3">
                  <c:v>44.047527171876105</c:v>
                </c:pt>
                <c:pt idx="4">
                  <c:v>-99</c:v>
                </c:pt>
                <c:pt idx="5">
                  <c:v>41.924461342168549</c:v>
                </c:pt>
                <c:pt idx="6">
                  <c:v>39.8314296266431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37.551057950683401</c:v>
                </c:pt>
                <c:pt idx="11">
                  <c:v>40.554187884566083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3.3439490445859863</c:v>
                </c:pt>
                <c:pt idx="1">
                  <c:v>6.1546887523376972</c:v>
                </c:pt>
                <c:pt idx="2">
                  <c:v>0.86514963010209012</c:v>
                </c:pt>
                <c:pt idx="3">
                  <c:v>1.9726194229008107</c:v>
                </c:pt>
                <c:pt idx="4">
                  <c:v>1.0192195229239249</c:v>
                </c:pt>
                <c:pt idx="5">
                  <c:v>2.442742851296781</c:v>
                </c:pt>
                <c:pt idx="6">
                  <c:v>2.7852892263248772</c:v>
                </c:pt>
                <c:pt idx="7">
                  <c:v>0.90758886987361187</c:v>
                </c:pt>
                <c:pt idx="8">
                  <c:v>-99</c:v>
                </c:pt>
                <c:pt idx="9">
                  <c:v>1.6009747585674803</c:v>
                </c:pt>
                <c:pt idx="10">
                  <c:v>4.0438104358905527</c:v>
                </c:pt>
                <c:pt idx="11">
                  <c:v>3.0070996861819843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12.17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12.17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12.17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0.78500000000000014</c:v>
                </c:pt>
                <c:pt idx="1">
                  <c:v>1.8714999999999999</c:v>
                </c:pt>
                <c:pt idx="2">
                  <c:v>7.29</c:v>
                </c:pt>
                <c:pt idx="3">
                  <c:v>4.3179999999999996</c:v>
                </c:pt>
                <c:pt idx="4">
                  <c:v>6.25</c:v>
                </c:pt>
                <c:pt idx="5">
                  <c:v>3.3875000000000002</c:v>
                </c:pt>
                <c:pt idx="6">
                  <c:v>2.3990000000000005</c:v>
                </c:pt>
                <c:pt idx="7">
                  <c:v>2.8440000000000003</c:v>
                </c:pt>
                <c:pt idx="8">
                  <c:v>-99</c:v>
                </c:pt>
                <c:pt idx="9">
                  <c:v>3.3885000000000001</c:v>
                </c:pt>
                <c:pt idx="10">
                  <c:v>2.2375000000000003</c:v>
                </c:pt>
                <c:pt idx="11">
                  <c:v>4.3039999999999994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3.4099999999999997</c:v>
                </c:pt>
                <c:pt idx="1">
                  <c:v>13.389999999999999</c:v>
                </c:pt>
                <c:pt idx="2">
                  <c:v>13.59</c:v>
                </c:pt>
                <c:pt idx="3">
                  <c:v>12.76</c:v>
                </c:pt>
                <c:pt idx="4">
                  <c:v>12.549999999999999</c:v>
                </c:pt>
                <c:pt idx="5">
                  <c:v>11.42</c:v>
                </c:pt>
                <c:pt idx="6">
                  <c:v>8.7199999999999989</c:v>
                </c:pt>
                <c:pt idx="7">
                  <c:v>5.28</c:v>
                </c:pt>
                <c:pt idx="8">
                  <c:v>-99</c:v>
                </c:pt>
                <c:pt idx="9">
                  <c:v>8.4599999999999991</c:v>
                </c:pt>
                <c:pt idx="10">
                  <c:v>10.27</c:v>
                </c:pt>
                <c:pt idx="11">
                  <c:v>16.399999999999999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15.623198942454824</c:v>
                </c:pt>
                <c:pt idx="1">
                  <c:v>17.836199113888455</c:v>
                </c:pt>
                <c:pt idx="2">
                  <c:v>46.804473947287349</c:v>
                </c:pt>
                <c:pt idx="3">
                  <c:v>23.363228762392421</c:v>
                </c:pt>
                <c:pt idx="4">
                  <c:v>29.296540904373177</c:v>
                </c:pt>
                <c:pt idx="5">
                  <c:v>13.835051330377718</c:v>
                </c:pt>
                <c:pt idx="6">
                  <c:v>8.6402811971480453</c:v>
                </c:pt>
                <c:pt idx="7">
                  <c:v>9.4011832358216783</c:v>
                </c:pt>
                <c:pt idx="8">
                  <c:v>-99</c:v>
                </c:pt>
                <c:pt idx="9">
                  <c:v>9.2163302536878291</c:v>
                </c:pt>
                <c:pt idx="10">
                  <c:v>5.3833601046458854</c:v>
                </c:pt>
                <c:pt idx="11">
                  <c:v>10.120823867074687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91.087499999999991</c:v>
                </c:pt>
                <c:pt idx="1">
                  <c:v>399.69195000000002</c:v>
                </c:pt>
                <c:pt idx="2">
                  <c:v>218.61</c:v>
                </c:pt>
                <c:pt idx="3">
                  <c:v>292.93740000000003</c:v>
                </c:pt>
                <c:pt idx="4">
                  <c:v>218.60999999999999</c:v>
                </c:pt>
                <c:pt idx="5">
                  <c:v>278.72774999999996</c:v>
                </c:pt>
                <c:pt idx="6">
                  <c:v>219.33869999999996</c:v>
                </c:pt>
                <c:pt idx="7">
                  <c:v>84.529200000000003</c:v>
                </c:pt>
                <c:pt idx="8">
                  <c:v>-99</c:v>
                </c:pt>
                <c:pt idx="9">
                  <c:v>175.98104999999995</c:v>
                </c:pt>
                <c:pt idx="10">
                  <c:v>278.72774999999996</c:v>
                </c:pt>
                <c:pt idx="11">
                  <c:v>419.73120000000006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DMT-1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12.17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DMT-1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12.17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F5" sqref="F5:F6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77</v>
      </c>
      <c r="N2" t="s">
        <v>9</v>
      </c>
      <c r="O2" s="20" t="str">
        <f>'Data Entry'!H11</f>
        <v>45+79.26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78</v>
      </c>
      <c r="N3" t="s">
        <v>9</v>
      </c>
      <c r="O3" s="20" t="str">
        <f>'Data Entry'!H12</f>
        <v>RT 7.15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33.325434999999999</v>
      </c>
      <c r="N4">
        <f>'Data Entry'!E11</f>
        <v>0</v>
      </c>
      <c r="O4" s="56">
        <f>IF('Data Entry'!D11="","",'Data Entry'!D11)</f>
        <v>33.325434999999999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DMT-1</v>
      </c>
      <c r="F5" s="8" t="s">
        <v>49</v>
      </c>
      <c r="G5">
        <f>'Data Entry'!R8</f>
        <v>0.1</v>
      </c>
      <c r="L5" s="7" t="str">
        <f>'Data Entry'!C12</f>
        <v>Longitude:</v>
      </c>
      <c r="M5">
        <f>'Data Entry'!D12</f>
        <v>-80.554277999999996</v>
      </c>
      <c r="N5">
        <f>'Data Entry'!E12</f>
        <v>0</v>
      </c>
      <c r="O5" s="56">
        <f>IF('Data Entry'!D12="","",'Data Entry'!D12)</f>
        <v>-80.554277999999996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2.75</v>
      </c>
      <c r="F6" s="8" t="s">
        <v>51</v>
      </c>
      <c r="G6">
        <f>'Data Entry'!R9</f>
        <v>0.14000000000000001</v>
      </c>
      <c r="L6" s="53" t="s">
        <v>79</v>
      </c>
      <c r="O6" s="20">
        <f>'Data Entry'!D13</f>
        <v>102.9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0.81</v>
      </c>
      <c r="C10" s="9">
        <f>'Data Entry'!D17</f>
        <v>3.55</v>
      </c>
      <c r="D10" s="9" t="str">
        <f>IF('Data Entry'!E17="","",'Data Entry'!E17)</f>
        <v/>
      </c>
      <c r="E10" s="13">
        <f>IF('Data Entry'!J17=-99,"",'Data Entry'!J17)</f>
        <v>0.78500000000000014</v>
      </c>
      <c r="F10" s="9">
        <f>IF('Data Entry'!K17=-99,"",'Data Entry'!K17)</f>
        <v>3.4099999999999997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103.17502042396367</v>
      </c>
      <c r="K10" s="14">
        <f>'Data Entry'!P17</f>
        <v>104.94034583050571</v>
      </c>
      <c r="L10" s="14">
        <f>'Data Entry'!Q17</f>
        <v>104.94034583050571</v>
      </c>
      <c r="M10">
        <f>'Data Entry'!R17</f>
        <v>5.024579171598615E-2</v>
      </c>
      <c r="N10">
        <f>'Data Entry'!S17</f>
        <v>5.024579171598615E-2</v>
      </c>
      <c r="O10" s="11">
        <f>IF('Data Entry'!T17=-99,"",'Data Entry'!T17)</f>
        <v>3.3439490445859863</v>
      </c>
      <c r="P10" s="13">
        <f>IF('Data Entry'!U17=-99,"",'Data Entry'!U17)</f>
        <v>15.623198942454824</v>
      </c>
      <c r="Q10" s="14">
        <f>IF('Data Entry'!V17=-99,"",'Data Entry'!V17)</f>
        <v>91.087499999999991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>
        <f>IF('Data Entry'!AB17=-99,"",'Data Entry'!AB17)</f>
        <v>42.436359338337965</v>
      </c>
      <c r="X10" s="13" t="e">
        <f>IF('Data Entry'!#REF!=-99,"",'Data Entry'!#REF!)</f>
        <v>#REF!</v>
      </c>
      <c r="Y10" s="11">
        <f>IF('Data Entry'!AC17=-99,"",'Data Entry'!AC17)</f>
        <v>2.9224185193664058</v>
      </c>
      <c r="Z10" s="14">
        <f>'Data Entry'!AD17</f>
        <v>266.19579688278748</v>
      </c>
      <c r="AA10" s="14">
        <f>IF('Data Entry'!AE17=-99,"",'Data Entry'!AE17)</f>
        <v>190.23988724999998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555.96056962157695</v>
      </c>
    </row>
    <row r="11" spans="1:30" x14ac:dyDescent="0.2">
      <c r="A11" s="13">
        <f>'Data Entry'!B18</f>
        <v>2.0014100469350815</v>
      </c>
      <c r="B11" s="9">
        <f>'Data Entry'!C18</f>
        <v>2.3199999999999998</v>
      </c>
      <c r="C11" s="9">
        <f>'Data Entry'!D18</f>
        <v>13.53</v>
      </c>
      <c r="D11" s="9" t="str">
        <f>IF('Data Entry'!E18="","",'Data Entry'!E18)</f>
        <v/>
      </c>
      <c r="E11" s="13">
        <f>IF('Data Entry'!J18=-99,"",'Data Entry'!J18)</f>
        <v>1.8714999999999999</v>
      </c>
      <c r="F11" s="9">
        <f>IF('Data Entry'!K18=-99,"",'Data Entry'!K18)</f>
        <v>13.389999999999999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116.02562143907316</v>
      </c>
      <c r="K11" s="14">
        <f>'Data Entry'!P18</f>
        <v>219.1443695510454</v>
      </c>
      <c r="L11" s="14">
        <f>'Data Entry'!Q18</f>
        <v>219.1443695510454</v>
      </c>
      <c r="M11">
        <f>'Data Entry'!R18</f>
        <v>0.10492706366698526</v>
      </c>
      <c r="N11">
        <f>'Data Entry'!S18</f>
        <v>0.10492706366698526</v>
      </c>
      <c r="O11" s="11">
        <f>IF('Data Entry'!T18=-99,"",'Data Entry'!T18)</f>
        <v>6.1546887523376972</v>
      </c>
      <c r="P11" s="13">
        <f>IF('Data Entry'!U18=-99,"",'Data Entry'!U18)</f>
        <v>17.836199113888455</v>
      </c>
      <c r="Q11" s="14">
        <f>IF('Data Entry'!V18=-99,"",'Data Entry'!V18)</f>
        <v>399.69195000000002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42.980923054989724</v>
      </c>
      <c r="X11" s="13" t="e">
        <f>IF('Data Entry'!#REF!=-99,"",'Data Entry'!#REF!)</f>
        <v>#REF!</v>
      </c>
      <c r="Y11" s="11">
        <f>IF('Data Entry'!AC18=-99,"",'Data Entry'!AC18)</f>
        <v>3.047839040025734</v>
      </c>
      <c r="Z11" s="14">
        <f>'Data Entry'!AD18</f>
        <v>1218.1967291940136</v>
      </c>
      <c r="AA11" s="14">
        <f>IF('Data Entry'!AE18=-99,"",'Data Entry'!AE18)</f>
        <v>834.77262525300011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2544.252596790865</v>
      </c>
    </row>
    <row r="12" spans="1:30" x14ac:dyDescent="0.2">
      <c r="A12" s="13">
        <f>'Data Entry'!B19</f>
        <v>3.018520054757595</v>
      </c>
      <c r="B12" s="9">
        <f>'Data Entry'!C19</f>
        <v>7.49</v>
      </c>
      <c r="C12" s="9">
        <f>'Data Entry'!D19</f>
        <v>13.73</v>
      </c>
      <c r="D12" s="9" t="str">
        <f>IF('Data Entry'!E19="","",'Data Entry'!E19)</f>
        <v/>
      </c>
      <c r="E12" s="13">
        <f>IF('Data Entry'!J19=-99,"",'Data Entry'!J19)</f>
        <v>7.29</v>
      </c>
      <c r="F12" s="9">
        <f>IF('Data Entry'!K19=-99,"",'Data Entry'!K19)</f>
        <v>13.59</v>
      </c>
      <c r="G12" s="11" t="str">
        <f>IF('Data Entry'!L19=-99,"",'Data Entry'!L19)</f>
        <v/>
      </c>
      <c r="H12" s="14">
        <f>'Data Entry'!M19</f>
        <v>16.755651416873928</v>
      </c>
      <c r="I12" s="14">
        <f>'Data Entry'!N19</f>
        <v>8.0226624421241288E-3</v>
      </c>
      <c r="J12" s="14">
        <f>'Data Entry'!O19</f>
        <v>120.490861321895</v>
      </c>
      <c r="K12" s="14">
        <f>'Data Entry'!P19</f>
        <v>341.69683045269937</v>
      </c>
      <c r="L12" s="14">
        <f>'Data Entry'!Q19</f>
        <v>324.94117903582543</v>
      </c>
      <c r="M12">
        <f>'Data Entry'!R19</f>
        <v>0.16360559551298964</v>
      </c>
      <c r="N12">
        <f>'Data Entry'!S19</f>
        <v>0.15558293307086551</v>
      </c>
      <c r="O12" s="11">
        <f>IF('Data Entry'!T19=-99,"",'Data Entry'!T19)</f>
        <v>0.86514963010209012</v>
      </c>
      <c r="P12" s="13">
        <f>IF('Data Entry'!U19=-99,"",'Data Entry'!U19)</f>
        <v>46.804473947287349</v>
      </c>
      <c r="Q12" s="14">
        <f>IF('Data Entry'!V19=-99,"",'Data Entry'!V19)</f>
        <v>218.61</v>
      </c>
      <c r="R12" s="13">
        <f>IF('Data Entry'!W19=-99,"",'Data Entry'!W19)</f>
        <v>4.4381625040793464</v>
      </c>
      <c r="S12" s="13">
        <f>IF('Data Entry'!X19=-99,"",'Data Entry'!X19)</f>
        <v>23.823477239169261</v>
      </c>
      <c r="T12" s="13">
        <f>IF('Data Entry'!Y19=-99,"",'Data Entry'!Y19)</f>
        <v>136.78595329655838</v>
      </c>
      <c r="U12" s="13">
        <f>IF('Data Entry'!Z19=-1,"",'Data Entry'!Z19)</f>
        <v>1.7617989684434594</v>
      </c>
      <c r="V12" s="13">
        <f>IF('Data Entry'!AA19=-1,"",'Data Entry'!AA19)</f>
        <v>0.72819773375578767</v>
      </c>
      <c r="W12" s="13" t="str">
        <f>IF('Data Entry'!AB19=-99,"",'Data Entry'!AB19)</f>
        <v/>
      </c>
      <c r="X12" s="13" t="e">
        <f>IF('Data Entry'!#REF!=-99,"",'Data Entry'!#REF!)</f>
        <v>#REF!</v>
      </c>
      <c r="Y12" s="11">
        <f>IF('Data Entry'!AC19=-99,"",'Data Entry'!AC19)</f>
        <v>3.9612264631353367</v>
      </c>
      <c r="Z12" s="14">
        <f>'Data Entry'!AD19</f>
        <v>865.96371710601602</v>
      </c>
      <c r="AA12" s="14">
        <f>IF('Data Entry'!AE19=-99,"",'Data Entry'!AE19)</f>
        <v>456.5757294</v>
      </c>
      <c r="AB12" s="14">
        <f>IF('Data Entry'!AF19=-99,"",'Data Entry'!AF19)</f>
        <v>3679.5876175529024</v>
      </c>
      <c r="AC12" s="14">
        <f>IF('Data Entry'!AG19=-99,"",'Data Entry'!AG19)</f>
        <v>1520.8700948583128</v>
      </c>
      <c r="AD12" s="14">
        <f>IF('Data Entry'!AH19=-99,"",'Data Entry'!AH19)</f>
        <v>1808.5998617245987</v>
      </c>
    </row>
    <row r="13" spans="1:30" x14ac:dyDescent="0.2">
      <c r="A13" s="13">
        <f>'Data Entry'!B20</f>
        <v>4.0356300625801085</v>
      </c>
      <c r="B13" s="9">
        <f>'Data Entry'!C20</f>
        <v>4.62</v>
      </c>
      <c r="C13" s="9">
        <f>'Data Entry'!D20</f>
        <v>12.9</v>
      </c>
      <c r="D13" s="9" t="str">
        <f>IF('Data Entry'!E20="","",'Data Entry'!E20)</f>
        <v/>
      </c>
      <c r="E13" s="13">
        <f>IF('Data Entry'!J20=-99,"",'Data Entry'!J20)</f>
        <v>4.3179999999999996</v>
      </c>
      <c r="F13" s="9">
        <f>IF('Data Entry'!K20=-99,"",'Data Entry'!K20)</f>
        <v>12.76</v>
      </c>
      <c r="G13" s="11" t="str">
        <f>IF('Data Entry'!L20=-99,"",'Data Entry'!L20)</f>
        <v/>
      </c>
      <c r="H13" s="14">
        <f>'Data Entry'!M20</f>
        <v>80.223315904998771</v>
      </c>
      <c r="I13" s="14">
        <f>'Data Entry'!N20</f>
        <v>3.8411194377411383E-2</v>
      </c>
      <c r="J13" s="14">
        <f>'Data Entry'!O20</f>
        <v>119.06030337360878</v>
      </c>
      <c r="K13" s="14">
        <f>'Data Entry'!P20</f>
        <v>462.79425654838144</v>
      </c>
      <c r="L13" s="14">
        <f>'Data Entry'!Q20</f>
        <v>382.57094064338264</v>
      </c>
      <c r="M13">
        <f>'Data Entry'!R20</f>
        <v>0.22158745178372521</v>
      </c>
      <c r="N13">
        <f>'Data Entry'!S20</f>
        <v>0.18317625740631382</v>
      </c>
      <c r="O13" s="11">
        <f>IF('Data Entry'!T20=-99,"",'Data Entry'!T20)</f>
        <v>1.9726194229008107</v>
      </c>
      <c r="P13" s="13">
        <f>IF('Data Entry'!U20=-99,"",'Data Entry'!U20)</f>
        <v>23.363228762392421</v>
      </c>
      <c r="Q13" s="14">
        <f>IF('Data Entry'!V20=-99,"",'Data Entry'!V20)</f>
        <v>292.93740000000003</v>
      </c>
      <c r="R13" s="13" t="str">
        <f>IF('Data Entry'!W20=-99,"",'Data Entry'!W20)</f>
        <v/>
      </c>
      <c r="S13" s="13" t="str">
        <f>IF('Data Entry'!X20=-99,"",'Data Entry'!X20)</f>
        <v/>
      </c>
      <c r="T13" s="13" t="str">
        <f>IF('Data Entry'!Y20=-99,"",'Data Entry'!Y20)</f>
        <v/>
      </c>
      <c r="U13" s="13">
        <f>IF('Data Entry'!Z20=-1,"",'Data Entry'!Z20)</f>
        <v>-99</v>
      </c>
      <c r="V13" s="13">
        <f>IF('Data Entry'!AA20=-1,"",'Data Entry'!AA20)</f>
        <v>-99</v>
      </c>
      <c r="W13" s="13">
        <f>IF('Data Entry'!AB20=-99,"",'Data Entry'!AB20)</f>
        <v>44.047527171876105</v>
      </c>
      <c r="X13" s="13" t="e">
        <f>IF('Data Entry'!#REF!=-99,"",'Data Entry'!#REF!)</f>
        <v>#REF!</v>
      </c>
      <c r="Y13" s="11">
        <f>IF('Data Entry'!AC20=-99,"",'Data Entry'!AC20)</f>
        <v>3.3034016378945101</v>
      </c>
      <c r="Z13" s="14">
        <f>'Data Entry'!AD20</f>
        <v>967.68988696055931</v>
      </c>
      <c r="AA13" s="14">
        <f>IF('Data Entry'!AE20=-99,"",'Data Entry'!AE20)</f>
        <v>611.8114773960001</v>
      </c>
      <c r="AB13" s="14" t="str">
        <f>IF('Data Entry'!AF20=-99,"",'Data Entry'!AF20)</f>
        <v/>
      </c>
      <c r="AC13" s="14" t="str">
        <f>IF('Data Entry'!AG20=-99,"",'Data Entry'!AG20)</f>
        <v/>
      </c>
      <c r="AD13" s="14">
        <f>IF('Data Entry'!AH20=-99,"",'Data Entry'!AH20)</f>
        <v>2021.0590365126066</v>
      </c>
    </row>
    <row r="14" spans="1:30" x14ac:dyDescent="0.2">
      <c r="A14" s="13">
        <f>'Data Entry'!B21</f>
        <v>5.0527398748397827</v>
      </c>
      <c r="B14" s="9">
        <f>'Data Entry'!C21</f>
        <v>6.45</v>
      </c>
      <c r="C14" s="9">
        <f>'Data Entry'!D21</f>
        <v>12.69</v>
      </c>
      <c r="D14" s="9" t="str">
        <f>IF('Data Entry'!E21="","",'Data Entry'!E21)</f>
        <v/>
      </c>
      <c r="E14" s="13">
        <f>IF('Data Entry'!J21=-99,"",'Data Entry'!J21)</f>
        <v>6.25</v>
      </c>
      <c r="F14" s="9">
        <f>IF('Data Entry'!K21=-99,"",'Data Entry'!K21)</f>
        <v>12.549999999999999</v>
      </c>
      <c r="G14" s="11" t="str">
        <f>IF('Data Entry'!L21=-99,"",'Data Entry'!L21)</f>
        <v/>
      </c>
      <c r="H14" s="14">
        <f>'Data Entry'!M21</f>
        <v>143.69096819000245</v>
      </c>
      <c r="I14" s="14">
        <f>'Data Entry'!N21</f>
        <v>6.8799720469803052E-2</v>
      </c>
      <c r="J14" s="14">
        <f>'Data Entry'!O21</f>
        <v>119.50753361058895</v>
      </c>
      <c r="K14" s="14">
        <f>'Data Entry'!P21</f>
        <v>584.34654162266429</v>
      </c>
      <c r="L14" s="14">
        <f>'Data Entry'!Q21</f>
        <v>440.65557343266187</v>
      </c>
      <c r="M14">
        <f>'Data Entry'!R21</f>
        <v>0.27978709606838476</v>
      </c>
      <c r="N14">
        <f>'Data Entry'!S21</f>
        <v>0.21098737559858172</v>
      </c>
      <c r="O14" s="11">
        <f>IF('Data Entry'!T21=-99,"",'Data Entry'!T21)</f>
        <v>1.0192195229239249</v>
      </c>
      <c r="P14" s="13">
        <f>IF('Data Entry'!U21=-99,"",'Data Entry'!U21)</f>
        <v>29.296540904373177</v>
      </c>
      <c r="Q14" s="14">
        <f>IF('Data Entry'!V21=-99,"",'Data Entry'!V21)</f>
        <v>218.60999999999999</v>
      </c>
      <c r="R14" s="13">
        <f>IF('Data Entry'!W21=-99,"",'Data Entry'!W21)</f>
        <v>3.4424140119906093</v>
      </c>
      <c r="S14" s="13">
        <f>IF('Data Entry'!X21=-99,"",'Data Entry'!X21)</f>
        <v>14.911939320325949</v>
      </c>
      <c r="T14" s="13">
        <f>IF('Data Entry'!Y21=-99,"",'Data Entry'!Y21)</f>
        <v>65.860755103905092</v>
      </c>
      <c r="U14" s="13">
        <f>IF('Data Entry'!Z21=-1,"",'Data Entry'!Z21)</f>
        <v>1.3301851287101865</v>
      </c>
      <c r="V14" s="13">
        <f>IF('Data Entry'!AA21=-1,"",'Data Entry'!AA21)</f>
        <v>0.61812002795301968</v>
      </c>
      <c r="W14" s="13" t="str">
        <f>IF('Data Entry'!AB21=-99,"",'Data Entry'!AB21)</f>
        <v/>
      </c>
      <c r="X14" s="13" t="e">
        <f>IF('Data Entry'!#REF!=-99,"",'Data Entry'!#REF!)</f>
        <v>#REF!</v>
      </c>
      <c r="Y14" s="11">
        <f>IF('Data Entry'!AC21=-99,"",'Data Entry'!AC21)</f>
        <v>3.5176596330708181</v>
      </c>
      <c r="Z14" s="14">
        <f>'Data Entry'!AD21</f>
        <v>768.99557238561147</v>
      </c>
      <c r="AA14" s="14">
        <f>IF('Data Entry'!AE21=-99,"",'Data Entry'!AE21)</f>
        <v>456.57572939999994</v>
      </c>
      <c r="AB14" s="14">
        <f>IF('Data Entry'!AF21=-99,"",'Data Entry'!AF21)</f>
        <v>2778.144848716373</v>
      </c>
      <c r="AC14" s="14">
        <f>IF('Data Entry'!AG21=-99,"",'Data Entry'!AG21)</f>
        <v>1290.9684031809998</v>
      </c>
      <c r="AD14" s="14">
        <f>IF('Data Entry'!AH21=-99,"",'Data Entry'!AH21)</f>
        <v>1606.0780127502449</v>
      </c>
    </row>
    <row r="15" spans="1:30" x14ac:dyDescent="0.2">
      <c r="A15" s="13">
        <f>'Data Entry'!B22</f>
        <v>6.0698500782251363</v>
      </c>
      <c r="B15" s="9">
        <f>'Data Entry'!C22</f>
        <v>3.67</v>
      </c>
      <c r="C15" s="9">
        <f>'Data Entry'!D22</f>
        <v>11.56</v>
      </c>
      <c r="D15" s="9" t="str">
        <f>IF('Data Entry'!E22="","",'Data Entry'!E22)</f>
        <v/>
      </c>
      <c r="E15" s="13">
        <f>IF('Data Entry'!J22=-99,"",'Data Entry'!J22)</f>
        <v>3.3875000000000002</v>
      </c>
      <c r="F15" s="9">
        <f>IF('Data Entry'!K22=-99,"",'Data Entry'!K22)</f>
        <v>11.42</v>
      </c>
      <c r="G15" s="11" t="str">
        <f>IF('Data Entry'!L22=-99,"",'Data Entry'!L22)</f>
        <v/>
      </c>
      <c r="H15" s="14">
        <f>'Data Entry'!M22</f>
        <v>207.15864488124851</v>
      </c>
      <c r="I15" s="14">
        <f>'Data Entry'!N22</f>
        <v>9.9188258247985925E-2</v>
      </c>
      <c r="J15" s="14">
        <f>'Data Entry'!O22</f>
        <v>117.21030638144639</v>
      </c>
      <c r="K15" s="14">
        <f>'Data Entry'!P22</f>
        <v>703.56234018515681</v>
      </c>
      <c r="L15" s="14">
        <f>'Data Entry'!Q22</f>
        <v>496.40369530390831</v>
      </c>
      <c r="M15">
        <f>'Data Entry'!R22</f>
        <v>0.33686802272647726</v>
      </c>
      <c r="N15">
        <f>'Data Entry'!S22</f>
        <v>0.23767976447849135</v>
      </c>
      <c r="O15" s="11">
        <f>IF('Data Entry'!T22=-99,"",'Data Entry'!T22)</f>
        <v>2.442742851296781</v>
      </c>
      <c r="P15" s="13">
        <f>IF('Data Entry'!U22=-99,"",'Data Entry'!U22)</f>
        <v>13.835051330377718</v>
      </c>
      <c r="Q15" s="14">
        <f>IF('Data Entry'!V22=-99,"",'Data Entry'!V22)</f>
        <v>278.72774999999996</v>
      </c>
      <c r="R15" s="13" t="str">
        <f>IF('Data Entry'!W22=-99,"",'Data Entry'!W22)</f>
        <v/>
      </c>
      <c r="S15" s="13" t="str">
        <f>IF('Data Entry'!X22=-99,"",'Data Entry'!X22)</f>
        <v/>
      </c>
      <c r="T15" s="13" t="str">
        <f>IF('Data Entry'!Y22=-99,"",'Data Entry'!Y22)</f>
        <v/>
      </c>
      <c r="U15" s="13">
        <f>IF('Data Entry'!Z22=-1,"",'Data Entry'!Z22)</f>
        <v>-99</v>
      </c>
      <c r="V15" s="13">
        <f>IF('Data Entry'!AA22=-1,"",'Data Entry'!AA22)</f>
        <v>-99</v>
      </c>
      <c r="W15" s="13">
        <f>IF('Data Entry'!AB22=-99,"",'Data Entry'!AB22)</f>
        <v>41.924461342168549</v>
      </c>
      <c r="X15" s="13" t="e">
        <f>IF('Data Entry'!#REF!=-99,"",'Data Entry'!#REF!)</f>
        <v>#REF!</v>
      </c>
      <c r="Y15" s="11">
        <f>IF('Data Entry'!AC22=-99,"",'Data Entry'!AC22)</f>
        <v>2.8073380890331685</v>
      </c>
      <c r="Z15" s="14">
        <f>'Data Entry'!AD22</f>
        <v>782.48302904551463</v>
      </c>
      <c r="AA15" s="14">
        <f>IF('Data Entry'!AE22=-99,"",'Data Entry'!AE22)</f>
        <v>582.13405498499992</v>
      </c>
      <c r="AB15" s="14" t="str">
        <f>IF('Data Entry'!AF22=-99,"",'Data Entry'!AF22)</f>
        <v/>
      </c>
      <c r="AC15" s="14" t="str">
        <f>IF('Data Entry'!AG22=-99,"",'Data Entry'!AG22)</f>
        <v/>
      </c>
      <c r="AD15" s="14">
        <f>IF('Data Entry'!AH22=-99,"",'Data Entry'!AH22)</f>
        <v>1634.2471054827192</v>
      </c>
    </row>
    <row r="16" spans="1:30" x14ac:dyDescent="0.2">
      <c r="A16" s="13">
        <f>'Data Entry'!B23</f>
        <v>7.0869602816104891</v>
      </c>
      <c r="B16" s="9">
        <f>'Data Entry'!C23</f>
        <v>2.6</v>
      </c>
      <c r="C16" s="9">
        <f>'Data Entry'!D23</f>
        <v>8.86</v>
      </c>
      <c r="D16" s="9" t="str">
        <f>IF('Data Entry'!E23="","",'Data Entry'!E23)</f>
        <v/>
      </c>
      <c r="E16" s="13">
        <f>IF('Data Entry'!J23=-99,"",'Data Entry'!J23)</f>
        <v>2.3990000000000005</v>
      </c>
      <c r="F16" s="9">
        <f>IF('Data Entry'!K23=-99,"",'Data Entry'!K23)</f>
        <v>8.7199999999999989</v>
      </c>
      <c r="G16" s="11" t="str">
        <f>IF('Data Entry'!L23=-99,"",'Data Entry'!L23)</f>
        <v/>
      </c>
      <c r="H16" s="14">
        <f>'Data Entry'!M23</f>
        <v>270.62632157249453</v>
      </c>
      <c r="I16" s="14">
        <f>'Data Entry'!N23</f>
        <v>0.12957679602616878</v>
      </c>
      <c r="J16" s="14">
        <f>'Data Entry'!O23</f>
        <v>113.68670498031435</v>
      </c>
      <c r="K16" s="14">
        <f>'Data Entry'!P23</f>
        <v>819.19424780989493</v>
      </c>
      <c r="L16" s="14">
        <f>'Data Entry'!Q23</f>
        <v>548.56792623740034</v>
      </c>
      <c r="M16">
        <f>'Data Entry'!R23</f>
        <v>0.39223297030935245</v>
      </c>
      <c r="N16">
        <f>'Data Entry'!S23</f>
        <v>0.26265617428318366</v>
      </c>
      <c r="O16" s="11">
        <f>IF('Data Entry'!T23=-99,"",'Data Entry'!T23)</f>
        <v>2.7852892263248772</v>
      </c>
      <c r="P16" s="13">
        <f>IF('Data Entry'!U23=-99,"",'Data Entry'!U23)</f>
        <v>8.6402811971480453</v>
      </c>
      <c r="Q16" s="14">
        <f>IF('Data Entry'!V23=-99,"",'Data Entry'!V23)</f>
        <v>219.33869999999996</v>
      </c>
      <c r="R16" s="13" t="str">
        <f>IF('Data Entry'!W23=-99,"",'Data Entry'!W23)</f>
        <v/>
      </c>
      <c r="S16" s="13" t="str">
        <f>IF('Data Entry'!X23=-99,"",'Data Entry'!X23)</f>
        <v/>
      </c>
      <c r="T16" s="13" t="str">
        <f>IF('Data Entry'!Y23=-99,"",'Data Entry'!Y23)</f>
        <v/>
      </c>
      <c r="U16" s="13">
        <f>IF('Data Entry'!Z23=-1,"",'Data Entry'!Z23)</f>
        <v>-99</v>
      </c>
      <c r="V16" s="13">
        <f>IF('Data Entry'!AA23=-1,"",'Data Entry'!AA23)</f>
        <v>-99</v>
      </c>
      <c r="W16" s="13">
        <f>IF('Data Entry'!AB23=-99,"",'Data Entry'!AB23)</f>
        <v>39.8314296266431</v>
      </c>
      <c r="X16" s="13" t="e">
        <f>IF('Data Entry'!#REF!=-99,"",'Data Entry'!#REF!)</f>
        <v>#REF!</v>
      </c>
      <c r="Y16" s="11">
        <f>IF('Data Entry'!AC23=-99,"",'Data Entry'!AC23)</f>
        <v>2.3710115312624125</v>
      </c>
      <c r="Z16" s="14">
        <f>'Data Entry'!AD23</f>
        <v>520.05458695210677</v>
      </c>
      <c r="AA16" s="14">
        <f>IF('Data Entry'!AE23=-99,"",'Data Entry'!AE23)</f>
        <v>458.09764849799996</v>
      </c>
      <c r="AB16" s="14" t="str">
        <f>IF('Data Entry'!AF23=-99,"",'Data Entry'!AF23)</f>
        <v/>
      </c>
      <c r="AC16" s="14" t="str">
        <f>IF('Data Entry'!AG23=-99,"",'Data Entry'!AG23)</f>
        <v/>
      </c>
      <c r="AD16" s="14">
        <f>IF('Data Entry'!AH23=-99,"",'Data Entry'!AH23)</f>
        <v>1086.1548070329529</v>
      </c>
    </row>
    <row r="17" spans="1:30" x14ac:dyDescent="0.2">
      <c r="A17" s="13">
        <f>'Data Entry'!B24</f>
        <v>8.1040700938701633</v>
      </c>
      <c r="B17" s="9">
        <f>'Data Entry'!C24</f>
        <v>2.86</v>
      </c>
      <c r="C17" s="9">
        <f>'Data Entry'!D24</f>
        <v>5.42</v>
      </c>
      <c r="D17" s="9" t="str">
        <f>IF('Data Entry'!E24="","",'Data Entry'!E24)</f>
        <v/>
      </c>
      <c r="E17" s="13">
        <f>IF('Data Entry'!J24=-99,"",'Data Entry'!J24)</f>
        <v>2.8440000000000003</v>
      </c>
      <c r="F17" s="9">
        <f>IF('Data Entry'!K24=-99,"",'Data Entry'!K24)</f>
        <v>5.28</v>
      </c>
      <c r="G17" s="11" t="str">
        <f>IF('Data Entry'!L24=-99,"",'Data Entry'!L24)</f>
        <v/>
      </c>
      <c r="H17" s="14">
        <f>'Data Entry'!M24</f>
        <v>334.09397385749816</v>
      </c>
      <c r="I17" s="14">
        <f>'Data Entry'!N24</f>
        <v>0.1599653221185604</v>
      </c>
      <c r="J17" s="14">
        <f>'Data Entry'!O24</f>
        <v>109.30697751099434</v>
      </c>
      <c r="K17" s="14">
        <f>'Data Entry'!P24</f>
        <v>930.37144718477487</v>
      </c>
      <c r="L17" s="14">
        <f>'Data Entry'!Q24</f>
        <v>596.27747332727677</v>
      </c>
      <c r="M17">
        <f>'Data Entry'!R24</f>
        <v>0.44546498854930949</v>
      </c>
      <c r="N17">
        <f>'Data Entry'!S24</f>
        <v>0.28549966643074914</v>
      </c>
      <c r="O17" s="11">
        <f>IF('Data Entry'!T24=-99,"",'Data Entry'!T24)</f>
        <v>0.90758886987361187</v>
      </c>
      <c r="P17" s="13">
        <f>IF('Data Entry'!U24=-99,"",'Data Entry'!U24)</f>
        <v>9.4011832358216783</v>
      </c>
      <c r="Q17" s="14">
        <f>IF('Data Entry'!V24=-99,"",'Data Entry'!V24)</f>
        <v>84.529200000000003</v>
      </c>
      <c r="R17" s="13">
        <f>IF('Data Entry'!W24=-99,"",'Data Entry'!W24)</f>
        <v>1.7693700336252447</v>
      </c>
      <c r="S17" s="13">
        <f>IF('Data Entry'!X24=-99,"",'Data Entry'!X24)</f>
        <v>4.7852022670332337</v>
      </c>
      <c r="T17" s="13">
        <f>IF('Data Entry'!Y24=-99,"",'Data Entry'!Y24)</f>
        <v>11.182989935181025</v>
      </c>
      <c r="U17" s="13">
        <f>IF('Data Entry'!Z24=-1,"",'Data Entry'!Z24)</f>
        <v>0.43472932640938694</v>
      </c>
      <c r="V17" s="13">
        <f>IF('Data Entry'!AA24=-1,"",'Data Entry'!AA24)</f>
        <v>0.268403467788144</v>
      </c>
      <c r="W17" s="13" t="str">
        <f>IF('Data Entry'!AB24=-99,"",'Data Entry'!AB24)</f>
        <v/>
      </c>
      <c r="X17" s="13" t="e">
        <f>IF('Data Entry'!#REF!=-99,"",'Data Entry'!#REF!)</f>
        <v>#REF!</v>
      </c>
      <c r="Y17" s="11">
        <f>IF('Data Entry'!AC24=-99,"",'Data Entry'!AC24)</f>
        <v>2.4379480551175434</v>
      </c>
      <c r="Z17" s="14">
        <f>'Data Entry'!AD24</f>
        <v>206.07779874064187</v>
      </c>
      <c r="AA17" s="14">
        <f>IF('Data Entry'!AE24=-99,"",'Data Entry'!AE24)</f>
        <v>176.54261536799999</v>
      </c>
      <c r="AB17" s="14">
        <f>IF('Data Entry'!AF24=-99,"",'Data Entry'!AF24)</f>
        <v>907.94958737906097</v>
      </c>
      <c r="AC17" s="14">
        <f>IF('Data Entry'!AG24=-99,"",'Data Entry'!AG24)</f>
        <v>560.57137861425031</v>
      </c>
      <c r="AD17" s="14">
        <f>IF('Data Entry'!AH24=-99,"",'Data Entry'!AH24)</f>
        <v>430.40172578178016</v>
      </c>
    </row>
    <row r="18" spans="1:30" x14ac:dyDescent="0.2">
      <c r="A18" s="13">
        <f>'Data Entry'!B25</f>
        <v>9.1211799061298375</v>
      </c>
      <c r="B18" s="9">
        <f>'Data Entry'!C25</f>
        <v>0.19</v>
      </c>
      <c r="C18" s="9">
        <f>'Data Entry'!D25</f>
        <v>0.23</v>
      </c>
      <c r="D18" s="9" t="str">
        <f>IF('Data Entry'!E25="","",'Data Entry'!E25)</f>
        <v/>
      </c>
      <c r="E18" s="13" t="str">
        <f>IF('Data Entry'!J25=-99,"",'Data Entry'!J25)</f>
        <v/>
      </c>
      <c r="F18" s="9" t="str">
        <f>IF('Data Entry'!K25=-99,"",'Data Entry'!K25)</f>
        <v/>
      </c>
      <c r="G18" s="11" t="str">
        <f>IF('Data Entry'!L25=-99,"",'Data Entry'!L25)</f>
        <v/>
      </c>
      <c r="H18" s="14">
        <f>'Data Entry'!M25</f>
        <v>397.56162614250184</v>
      </c>
      <c r="I18" s="14">
        <f>'Data Entry'!N25</f>
        <v>0.19035384821095208</v>
      </c>
      <c r="J18" s="14">
        <f>'Data Entry'!O25</f>
        <v>130</v>
      </c>
      <c r="K18" s="14">
        <f>'Data Entry'!P25</f>
        <v>1062.5957227785325</v>
      </c>
      <c r="L18" s="14">
        <f>'Data Entry'!Q25</f>
        <v>665.03409663603065</v>
      </c>
      <c r="M18">
        <f>'Data Entry'!R25</f>
        <v>0.50877441790845879</v>
      </c>
      <c r="N18">
        <f>'Data Entry'!S25</f>
        <v>0.31842056969750671</v>
      </c>
      <c r="O18" s="11" t="str">
        <f>IF('Data Entry'!T25=-99,"",'Data Entry'!T25)</f>
        <v/>
      </c>
      <c r="P18" s="13" t="str">
        <f>IF('Data Entry'!U25=-99,"",'Data Entry'!U25)</f>
        <v/>
      </c>
      <c r="Q18" s="14" t="str">
        <f>IF('Data Entry'!V25=-99,"",'Data Entry'!V25)</f>
        <v/>
      </c>
      <c r="R18" s="13" t="str">
        <f>IF('Data Entry'!W25=-99,"",'Data Entry'!W25)</f>
        <v/>
      </c>
      <c r="S18" s="13" t="str">
        <f>IF('Data Entry'!X25=-99,"",'Data Entry'!X25)</f>
        <v/>
      </c>
      <c r="T18" s="13" t="str">
        <f>IF('Data Entry'!Y25=-99,"",'Data Entry'!Y25)</f>
        <v/>
      </c>
      <c r="U18" s="13">
        <f>IF('Data Entry'!Z25=-1,"",'Data Entry'!Z25)</f>
        <v>-99</v>
      </c>
      <c r="V18" s="13">
        <f>IF('Data Entry'!AA25=-1,"",'Data Entry'!AA25)</f>
        <v>-99</v>
      </c>
      <c r="W18" s="13" t="str">
        <f>IF('Data Entry'!AB25=-99,"",'Data Entry'!AB25)</f>
        <v/>
      </c>
      <c r="X18" s="13" t="e">
        <f>IF('Data Entry'!#REF!=-99,"",'Data Entry'!#REF!)</f>
        <v>#REF!</v>
      </c>
      <c r="Y18" s="11" t="str">
        <f>IF('Data Entry'!AC25=-99,"",'Data Entry'!AC25)</f>
        <v/>
      </c>
      <c r="Z18" s="14">
        <f>'Data Entry'!AD25</f>
        <v>-99</v>
      </c>
      <c r="AA18" s="14" t="str">
        <f>IF('Data Entry'!AE25=-99,"",'Data Entry'!AE25)</f>
        <v/>
      </c>
      <c r="AB18" s="14" t="str">
        <f>IF('Data Entry'!AF25=-99,"",'Data Entry'!AF25)</f>
        <v/>
      </c>
      <c r="AC18" s="14" t="str">
        <f>IF('Data Entry'!AG25=-99,"",'Data Entry'!AG25)</f>
        <v/>
      </c>
      <c r="AD18" s="14" t="str">
        <f>IF('Data Entry'!AH25=-99,"",'Data Entry'!AH25)</f>
        <v/>
      </c>
    </row>
    <row r="19" spans="1:30" x14ac:dyDescent="0.2">
      <c r="A19" s="13">
        <f>'Data Entry'!B26</f>
        <v>10.138289718389512</v>
      </c>
      <c r="B19" s="9">
        <f>'Data Entry'!C26</f>
        <v>3.53</v>
      </c>
      <c r="C19" s="9">
        <f>'Data Entry'!D26</f>
        <v>8.6</v>
      </c>
      <c r="D19" s="9" t="str">
        <f>IF('Data Entry'!E26="","",'Data Entry'!E26)</f>
        <v/>
      </c>
      <c r="E19" s="13">
        <f>IF('Data Entry'!J26=-99,"",'Data Entry'!J26)</f>
        <v>3.3885000000000001</v>
      </c>
      <c r="F19" s="9">
        <f>IF('Data Entry'!K26=-99,"",'Data Entry'!K26)</f>
        <v>8.4599999999999991</v>
      </c>
      <c r="G19" s="11" t="str">
        <f>IF('Data Entry'!L26=-99,"",'Data Entry'!L26)</f>
        <v/>
      </c>
      <c r="H19" s="14">
        <f>'Data Entry'!M26</f>
        <v>461.02927842750552</v>
      </c>
      <c r="I19" s="14">
        <f>'Data Entry'!N26</f>
        <v>0.22074237430334373</v>
      </c>
      <c r="J19" s="14">
        <f>'Data Entry'!O26</f>
        <v>114.33232470559518</v>
      </c>
      <c r="K19" s="14">
        <f>'Data Entry'!P26</f>
        <v>1178.8842520950525</v>
      </c>
      <c r="L19" s="14">
        <f>'Data Entry'!Q26</f>
        <v>717.85497366754703</v>
      </c>
      <c r="M19">
        <f>'Data Entry'!R26</f>
        <v>0.56445375817319876</v>
      </c>
      <c r="N19">
        <f>'Data Entry'!S26</f>
        <v>0.34371138386985506</v>
      </c>
      <c r="O19" s="11">
        <f>IF('Data Entry'!T26=-99,"",'Data Entry'!T26)</f>
        <v>1.6009747585674803</v>
      </c>
      <c r="P19" s="13">
        <f>IF('Data Entry'!U26=-99,"",'Data Entry'!U26)</f>
        <v>9.2163302536878291</v>
      </c>
      <c r="Q19" s="14">
        <f>IF('Data Entry'!V26=-99,"",'Data Entry'!V26)</f>
        <v>175.98104999999995</v>
      </c>
      <c r="R19" s="13" t="str">
        <f>IF('Data Entry'!W26=-99,"",'Data Entry'!W26)</f>
        <v/>
      </c>
      <c r="S19" s="13" t="str">
        <f>IF('Data Entry'!X26=-99,"",'Data Entry'!X26)</f>
        <v/>
      </c>
      <c r="T19" s="13" t="str">
        <f>IF('Data Entry'!Y26=-99,"",'Data Entry'!Y26)</f>
        <v/>
      </c>
      <c r="U19" s="13">
        <f>IF('Data Entry'!Z26=-1,"",'Data Entry'!Z26)</f>
        <v>-99</v>
      </c>
      <c r="V19" s="13">
        <f>IF('Data Entry'!AA26=-1,"",'Data Entry'!AA26)</f>
        <v>-99</v>
      </c>
      <c r="W19" s="13" t="str">
        <f>IF('Data Entry'!AB26=-99,"",'Data Entry'!AB26)</f>
        <v/>
      </c>
      <c r="X19" s="13" t="e">
        <f>IF('Data Entry'!#REF!=-99,"",'Data Entry'!#REF!)</f>
        <v>#REF!</v>
      </c>
      <c r="Y19" s="11">
        <f>IF('Data Entry'!AC26=-99,"",'Data Entry'!AC26)</f>
        <v>2.421678425452789</v>
      </c>
      <c r="Z19" s="14">
        <f>'Data Entry'!AD26</f>
        <v>426.16951207352844</v>
      </c>
      <c r="AA19" s="14">
        <f>IF('Data Entry'!AE26=-99,"",'Data Entry'!AE26)</f>
        <v>367.54346216699986</v>
      </c>
      <c r="AB19" s="14" t="str">
        <f>IF('Data Entry'!AF26=-99,"",'Data Entry'!AF26)</f>
        <v/>
      </c>
      <c r="AC19" s="14" t="str">
        <f>IF('Data Entry'!AG26=-99,"",'Data Entry'!AG26)</f>
        <v/>
      </c>
      <c r="AD19" s="14">
        <f>IF('Data Entry'!AH26=-99,"",'Data Entry'!AH26)</f>
        <v>890.07207274604707</v>
      </c>
    </row>
    <row r="20" spans="1:30" x14ac:dyDescent="0.2">
      <c r="A20" s="13">
        <f>'Data Entry'!B27</f>
        <v>11.155400312900543</v>
      </c>
      <c r="B20" s="9">
        <f>'Data Entry'!C27</f>
        <v>2.52</v>
      </c>
      <c r="C20" s="9">
        <f>'Data Entry'!D27</f>
        <v>10.41</v>
      </c>
      <c r="D20" s="9" t="str">
        <f>IF('Data Entry'!E27="","",'Data Entry'!E27)</f>
        <v/>
      </c>
      <c r="E20" s="13">
        <f>IF('Data Entry'!J27=-99,"",'Data Entry'!J27)</f>
        <v>2.2375000000000003</v>
      </c>
      <c r="F20" s="9">
        <f>IF('Data Entry'!K27=-99,"",'Data Entry'!K27)</f>
        <v>10.27</v>
      </c>
      <c r="G20" s="11" t="str">
        <f>IF('Data Entry'!L27=-99,"",'Data Entry'!L27)</f>
        <v/>
      </c>
      <c r="H20" s="14">
        <f>'Data Entry'!M27</f>
        <v>524.49697952499389</v>
      </c>
      <c r="I20" s="14">
        <f>'Data Entry'!N27</f>
        <v>0.25113092376731777</v>
      </c>
      <c r="J20" s="14">
        <f>'Data Entry'!O27</f>
        <v>114.29313603595872</v>
      </c>
      <c r="K20" s="14">
        <f>'Data Entry'!P27</f>
        <v>1295.1330116371166</v>
      </c>
      <c r="L20" s="14">
        <f>'Data Entry'!Q27</f>
        <v>770.63603211212273</v>
      </c>
      <c r="M20">
        <f>'Data Entry'!R27</f>
        <v>0.62011405653572194</v>
      </c>
      <c r="N20">
        <f>'Data Entry'!S27</f>
        <v>0.36898313276840411</v>
      </c>
      <c r="O20" s="11">
        <f>IF('Data Entry'!T27=-99,"",'Data Entry'!T27)</f>
        <v>4.0438104358905527</v>
      </c>
      <c r="P20" s="13">
        <f>IF('Data Entry'!U27=-99,"",'Data Entry'!U27)</f>
        <v>5.3833601046458854</v>
      </c>
      <c r="Q20" s="14">
        <f>IF('Data Entry'!V27=-99,"",'Data Entry'!V27)</f>
        <v>278.72774999999996</v>
      </c>
      <c r="R20" s="13" t="str">
        <f>IF('Data Entry'!W27=-99,"",'Data Entry'!W27)</f>
        <v/>
      </c>
      <c r="S20" s="13" t="str">
        <f>IF('Data Entry'!X27=-99,"",'Data Entry'!X27)</f>
        <v/>
      </c>
      <c r="T20" s="13" t="str">
        <f>IF('Data Entry'!Y27=-99,"",'Data Entry'!Y27)</f>
        <v/>
      </c>
      <c r="U20" s="13">
        <f>IF('Data Entry'!Z27=-1,"",'Data Entry'!Z27)</f>
        <v>-99</v>
      </c>
      <c r="V20" s="13">
        <f>IF('Data Entry'!AA27=-1,"",'Data Entry'!AA27)</f>
        <v>-99</v>
      </c>
      <c r="W20" s="13">
        <f>IF('Data Entry'!AB27=-99,"",'Data Entry'!AB27)</f>
        <v>37.551057950683401</v>
      </c>
      <c r="X20" s="13" t="e">
        <f>IF('Data Entry'!#REF!=-99,"",'Data Entry'!#REF!)</f>
        <v>#REF!</v>
      </c>
      <c r="Y20" s="11">
        <f>IF('Data Entry'!AC27=-99,"",'Data Entry'!AC27)</f>
        <v>1.9621068633764314</v>
      </c>
      <c r="Z20" s="14">
        <f>'Data Entry'!AD27</f>
        <v>546.89363128847003</v>
      </c>
      <c r="AA20" s="14">
        <f>IF('Data Entry'!AE27=-99,"",'Data Entry'!AE27)</f>
        <v>582.13405498499992</v>
      </c>
      <c r="AB20" s="14" t="str">
        <f>IF('Data Entry'!AF27=-99,"",'Data Entry'!AF27)</f>
        <v/>
      </c>
      <c r="AC20" s="14" t="str">
        <f>IF('Data Entry'!AG27=-99,"",'Data Entry'!AG27)</f>
        <v/>
      </c>
      <c r="AD20" s="14">
        <f>IF('Data Entry'!AH27=-99,"",'Data Entry'!AH27)</f>
        <v>1142.2092246912212</v>
      </c>
    </row>
    <row r="21" spans="1:30" x14ac:dyDescent="0.2">
      <c r="A21" s="13">
        <f>'Data Entry'!B28</f>
        <v>12.172510125160217</v>
      </c>
      <c r="B21" s="9">
        <f>'Data Entry'!C28</f>
        <v>4.78</v>
      </c>
      <c r="C21" s="9">
        <f>'Data Entry'!D28</f>
        <v>16.54</v>
      </c>
      <c r="D21" s="9" t="str">
        <f>IF('Data Entry'!E28="","",'Data Entry'!E28)</f>
        <v/>
      </c>
      <c r="E21" s="13">
        <f>IF('Data Entry'!J28=-99,"",'Data Entry'!J28)</f>
        <v>4.3039999999999994</v>
      </c>
      <c r="F21" s="9">
        <f>IF('Data Entry'!K28=-99,"",'Data Entry'!K28)</f>
        <v>16.399999999999999</v>
      </c>
      <c r="G21" s="11" t="str">
        <f>IF('Data Entry'!L28=-99,"",'Data Entry'!L28)</f>
        <v/>
      </c>
      <c r="H21" s="14">
        <f>'Data Entry'!M28</f>
        <v>587.96463180999751</v>
      </c>
      <c r="I21" s="14">
        <f>'Data Entry'!N28</f>
        <v>0.28151944985970945</v>
      </c>
      <c r="J21" s="14">
        <f>'Data Entry'!O28</f>
        <v>120.84575569004339</v>
      </c>
      <c r="K21" s="14">
        <f>'Data Entry'!P28</f>
        <v>1418.0464155193952</v>
      </c>
      <c r="L21" s="14">
        <f>'Data Entry'!Q28</f>
        <v>830.08178370939766</v>
      </c>
      <c r="M21">
        <f>'Data Entry'!R28</f>
        <v>0.67896540909888969</v>
      </c>
      <c r="N21">
        <f>'Data Entry'!S28</f>
        <v>0.3974459592391803</v>
      </c>
      <c r="O21" s="11">
        <f>IF('Data Entry'!T28=-99,"",'Data Entry'!T28)</f>
        <v>3.0070996861819843</v>
      </c>
      <c r="P21" s="13">
        <f>IF('Data Entry'!U28=-99,"",'Data Entry'!U28)</f>
        <v>10.120823867074687</v>
      </c>
      <c r="Q21" s="14">
        <f>IF('Data Entry'!V28=-99,"",'Data Entry'!V28)</f>
        <v>419.73120000000006</v>
      </c>
      <c r="R21" s="13" t="str">
        <f>IF('Data Entry'!W28=-99,"",'Data Entry'!W28)</f>
        <v/>
      </c>
      <c r="S21" s="13" t="str">
        <f>IF('Data Entry'!X28=-99,"",'Data Entry'!X28)</f>
        <v/>
      </c>
      <c r="T21" s="13" t="str">
        <f>IF('Data Entry'!Y28=-99,"",'Data Entry'!Y28)</f>
        <v/>
      </c>
      <c r="U21" s="13">
        <f>IF('Data Entry'!Z28=-1,"",'Data Entry'!Z28)</f>
        <v>-99</v>
      </c>
      <c r="V21" s="13">
        <f>IF('Data Entry'!AA28=-1,"",'Data Entry'!AA28)</f>
        <v>-99</v>
      </c>
      <c r="W21" s="13">
        <f>IF('Data Entry'!AB28=-99,"",'Data Entry'!AB28)</f>
        <v>40.554187884566083</v>
      </c>
      <c r="X21" s="13" t="e">
        <f>IF('Data Entry'!#REF!=-99,"",'Data Entry'!#REF!)</f>
        <v>#REF!</v>
      </c>
      <c r="Y21" s="11">
        <f>IF('Data Entry'!AC28=-99,"",'Data Entry'!AC28)</f>
        <v>2.5113705898142449</v>
      </c>
      <c r="Z21" s="14">
        <f>'Data Entry'!AD28</f>
        <v>1054.1005913074409</v>
      </c>
      <c r="AA21" s="14">
        <f>IF('Data Entry'!AE28=-99,"",'Data Entry'!AE28)</f>
        <v>876.62540044800005</v>
      </c>
      <c r="AB21" s="14" t="str">
        <f>IF('Data Entry'!AF28=-99,"",'Data Entry'!AF28)</f>
        <v/>
      </c>
      <c r="AC21" s="14" t="str">
        <f>IF('Data Entry'!AG28=-99,"",'Data Entry'!AG28)</f>
        <v/>
      </c>
      <c r="AD21" s="14">
        <f>IF('Data Entry'!AH28=-99,"",'Data Entry'!AH28)</f>
        <v>2201.5312489692424</v>
      </c>
    </row>
    <row r="22" spans="1:30" x14ac:dyDescent="0.2">
      <c r="A22" s="13"/>
      <c r="B22" s="9"/>
      <c r="C22" s="9"/>
      <c r="D22" s="9"/>
      <c r="E22" s="13"/>
      <c r="F22" s="9"/>
      <c r="G22" s="11"/>
      <c r="H22" s="14"/>
      <c r="I22" s="14"/>
      <c r="J22" s="14"/>
      <c r="K22" s="14"/>
      <c r="L22" s="14"/>
      <c r="O22" s="11"/>
      <c r="P22" s="13"/>
      <c r="Q22" s="14"/>
      <c r="R22" s="13"/>
      <c r="S22" s="13"/>
      <c r="T22" s="13"/>
      <c r="U22" s="13"/>
      <c r="V22" s="13"/>
      <c r="W22" s="13"/>
      <c r="X22" s="13"/>
      <c r="Y22" s="11"/>
      <c r="Z22" s="14"/>
      <c r="AA22" s="14"/>
      <c r="AB22" s="14"/>
      <c r="AC22" s="14"/>
      <c r="AD22" s="14"/>
    </row>
    <row r="23" spans="1:30" x14ac:dyDescent="0.2">
      <c r="A23" s="13"/>
      <c r="B23" s="9"/>
      <c r="C23" s="9"/>
      <c r="D23" s="9"/>
      <c r="E23" s="13"/>
      <c r="F23" s="9"/>
      <c r="G23" s="11"/>
      <c r="H23" s="14"/>
      <c r="I23" s="14"/>
      <c r="J23" s="14"/>
      <c r="K23" s="14"/>
      <c r="L23" s="14"/>
      <c r="O23" s="11"/>
      <c r="P23" s="13"/>
      <c r="Q23" s="14"/>
      <c r="R23" s="13"/>
      <c r="S23" s="13"/>
      <c r="T23" s="13"/>
      <c r="U23" s="13"/>
      <c r="V23" s="13"/>
      <c r="W23" s="13"/>
      <c r="X23" s="13"/>
      <c r="Y23" s="11"/>
      <c r="Z23" s="14"/>
      <c r="AA23" s="14"/>
      <c r="AB23" s="14"/>
      <c r="AC23" s="14"/>
      <c r="AD23" s="14"/>
    </row>
    <row r="24" spans="1:30" x14ac:dyDescent="0.2">
      <c r="A24" s="13"/>
      <c r="B24" s="9"/>
      <c r="C24" s="9"/>
      <c r="D24" s="9"/>
      <c r="E24" s="13"/>
      <c r="F24" s="9"/>
      <c r="G24" s="11"/>
      <c r="H24" s="14"/>
      <c r="I24" s="14"/>
      <c r="J24" s="14"/>
      <c r="K24" s="14"/>
      <c r="L24" s="14"/>
      <c r="O24" s="11"/>
      <c r="P24" s="13"/>
      <c r="Q24" s="14"/>
      <c r="R24" s="13"/>
      <c r="S24" s="13"/>
      <c r="T24" s="13"/>
      <c r="U24" s="13"/>
      <c r="V24" s="13"/>
      <c r="W24" s="13"/>
      <c r="X24" s="13"/>
      <c r="Y24" s="11"/>
      <c r="Z24" s="14"/>
      <c r="AA24" s="14"/>
      <c r="AB24" s="14"/>
      <c r="AC24" s="14"/>
      <c r="AD24" s="14"/>
    </row>
    <row r="25" spans="1:30" x14ac:dyDescent="0.2">
      <c r="A25" s="13"/>
      <c r="B25" s="9"/>
      <c r="C25" s="9"/>
      <c r="D25" s="9"/>
      <c r="E25" s="13"/>
      <c r="F25" s="9"/>
      <c r="G25" s="11"/>
      <c r="H25" s="14"/>
      <c r="I25" s="14"/>
      <c r="J25" s="14"/>
      <c r="K25" s="14"/>
      <c r="L25" s="14"/>
      <c r="O25" s="11"/>
      <c r="P25" s="13"/>
      <c r="Q25" s="14"/>
      <c r="R25" s="13"/>
      <c r="S25" s="13"/>
      <c r="T25" s="13"/>
      <c r="U25" s="13"/>
      <c r="V25" s="13"/>
      <c r="W25" s="13"/>
      <c r="X25" s="13"/>
      <c r="Y25" s="11"/>
      <c r="Z25" s="14"/>
      <c r="AA25" s="14"/>
      <c r="AB25" s="14"/>
      <c r="AC25" s="14"/>
      <c r="AD25" s="14"/>
    </row>
    <row r="26" spans="1:30" x14ac:dyDescent="0.2">
      <c r="A26" s="13"/>
      <c r="B26" s="9"/>
      <c r="C26" s="9"/>
      <c r="D26" s="9"/>
      <c r="E26" s="13"/>
      <c r="F26" s="9"/>
      <c r="G26" s="11"/>
      <c r="H26" s="14"/>
      <c r="I26" s="14"/>
      <c r="J26" s="14"/>
      <c r="K26" s="14"/>
      <c r="L26" s="14"/>
      <c r="O26" s="11"/>
      <c r="P26" s="13"/>
      <c r="Q26" s="14"/>
      <c r="R26" s="13"/>
      <c r="S26" s="13"/>
      <c r="T26" s="13"/>
      <c r="U26" s="13"/>
      <c r="V26" s="13"/>
      <c r="W26" s="13"/>
      <c r="X26" s="13"/>
      <c r="Y26" s="11"/>
      <c r="Z26" s="14"/>
      <c r="AA26" s="14"/>
      <c r="AB26" s="14"/>
      <c r="AC26" s="14"/>
      <c r="AD26" s="14"/>
    </row>
    <row r="27" spans="1:30" x14ac:dyDescent="0.2">
      <c r="A27" s="13"/>
      <c r="B27" s="9"/>
      <c r="C27" s="9"/>
      <c r="D27" s="9"/>
      <c r="E27" s="13"/>
      <c r="F27" s="9"/>
      <c r="G27" s="11"/>
      <c r="H27" s="14"/>
      <c r="I27" s="14"/>
      <c r="J27" s="14"/>
      <c r="K27" s="14"/>
      <c r="L27" s="14"/>
      <c r="O27" s="11"/>
      <c r="P27" s="13"/>
      <c r="Q27" s="14"/>
      <c r="R27" s="13"/>
      <c r="S27" s="13"/>
      <c r="T27" s="13"/>
      <c r="U27" s="13"/>
      <c r="V27" s="13"/>
      <c r="W27" s="13"/>
      <c r="X27" s="13"/>
      <c r="Y27" s="11"/>
      <c r="Z27" s="14"/>
      <c r="AA27" s="14"/>
      <c r="AB27" s="14"/>
      <c r="AC27" s="14"/>
      <c r="AD27" s="14"/>
    </row>
    <row r="28" spans="1:30" x14ac:dyDescent="0.2">
      <c r="A28" s="13"/>
      <c r="B28" s="9"/>
      <c r="C28" s="9"/>
      <c r="D28" s="9"/>
      <c r="E28" s="13"/>
      <c r="F28" s="9"/>
      <c r="G28" s="11"/>
      <c r="H28" s="14"/>
      <c r="I28" s="14"/>
      <c r="J28" s="14"/>
      <c r="K28" s="14"/>
      <c r="L28" s="14"/>
      <c r="O28" s="11"/>
      <c r="P28" s="13"/>
      <c r="Q28" s="14"/>
      <c r="R28" s="13"/>
      <c r="S28" s="13"/>
      <c r="T28" s="13"/>
      <c r="U28" s="13"/>
      <c r="V28" s="13"/>
      <c r="W28" s="13"/>
      <c r="X28" s="13"/>
      <c r="Y28" s="11"/>
      <c r="Z28" s="14"/>
      <c r="AA28" s="14"/>
      <c r="AB28" s="14"/>
      <c r="AC28" s="14"/>
      <c r="AD28" s="14"/>
    </row>
    <row r="29" spans="1:30" x14ac:dyDescent="0.2">
      <c r="A29" s="13"/>
      <c r="B29" s="9"/>
      <c r="C29" s="9"/>
      <c r="D29" s="9"/>
      <c r="E29" s="13"/>
      <c r="F29" s="9"/>
      <c r="G29" s="11"/>
      <c r="H29" s="14"/>
      <c r="I29" s="14"/>
      <c r="J29" s="14"/>
      <c r="K29" s="14"/>
      <c r="L29" s="14"/>
      <c r="O29" s="11"/>
      <c r="P29" s="13"/>
      <c r="Q29" s="14"/>
      <c r="R29" s="13"/>
      <c r="S29" s="13"/>
      <c r="T29" s="13"/>
      <c r="U29" s="13"/>
      <c r="V29" s="13"/>
      <c r="W29" s="13"/>
      <c r="X29" s="13"/>
      <c r="Y29" s="11"/>
      <c r="Z29" s="14"/>
      <c r="AA29" s="14"/>
      <c r="AB29" s="14"/>
      <c r="AC29" s="14"/>
      <c r="AD29" s="14"/>
    </row>
    <row r="30" spans="1:30" x14ac:dyDescent="0.2">
      <c r="A30" s="13"/>
      <c r="B30" s="9"/>
      <c r="C30" s="9"/>
      <c r="D30" s="9"/>
      <c r="E30" s="13"/>
      <c r="F30" s="9"/>
      <c r="G30" s="11"/>
      <c r="H30" s="14"/>
      <c r="I30" s="14"/>
      <c r="J30" s="14"/>
      <c r="K30" s="14"/>
      <c r="L30" s="14"/>
      <c r="O30" s="11"/>
      <c r="P30" s="13"/>
      <c r="Q30" s="14"/>
      <c r="R30" s="13"/>
      <c r="S30" s="13"/>
      <c r="T30" s="13"/>
      <c r="U30" s="13"/>
      <c r="V30" s="13"/>
      <c r="W30" s="13"/>
      <c r="X30" s="13"/>
      <c r="Y30" s="11"/>
      <c r="Z30" s="14"/>
      <c r="AA30" s="14"/>
      <c r="AB30" s="14"/>
      <c r="AC30" s="14"/>
      <c r="AD30" s="14"/>
    </row>
    <row r="31" spans="1:30" x14ac:dyDescent="0.2">
      <c r="A31" s="13"/>
      <c r="B31" s="9"/>
      <c r="C31" s="9"/>
      <c r="D31" s="9"/>
      <c r="E31" s="13"/>
      <c r="F31" s="9"/>
      <c r="G31" s="11"/>
      <c r="H31" s="14"/>
      <c r="I31" s="14"/>
      <c r="J31" s="14"/>
      <c r="K31" s="14"/>
      <c r="L31" s="14"/>
      <c r="O31" s="11"/>
      <c r="P31" s="13"/>
      <c r="Q31" s="14"/>
      <c r="R31" s="13"/>
      <c r="S31" s="13"/>
      <c r="T31" s="13"/>
      <c r="U31" s="13"/>
      <c r="V31" s="13"/>
      <c r="W31" s="13"/>
      <c r="X31" s="13"/>
      <c r="Y31" s="11"/>
      <c r="Z31" s="14"/>
      <c r="AA31" s="14"/>
      <c r="AB31" s="14"/>
      <c r="AC31" s="14"/>
      <c r="AD31" s="14"/>
    </row>
    <row r="32" spans="1:30" x14ac:dyDescent="0.2">
      <c r="A32" s="13"/>
      <c r="B32" s="9"/>
      <c r="C32" s="9"/>
      <c r="D32" s="9"/>
      <c r="E32" s="13"/>
      <c r="F32" s="9"/>
      <c r="G32" s="11"/>
      <c r="H32" s="14"/>
      <c r="I32" s="14"/>
      <c r="J32" s="14"/>
      <c r="K32" s="14"/>
      <c r="L32" s="14"/>
      <c r="O32" s="11"/>
      <c r="P32" s="13"/>
      <c r="Q32" s="14"/>
      <c r="R32" s="13"/>
      <c r="S32" s="13"/>
      <c r="T32" s="13"/>
      <c r="U32" s="13"/>
      <c r="V32" s="13"/>
      <c r="W32" s="13"/>
      <c r="X32" s="13"/>
      <c r="Y32" s="11"/>
      <c r="Z32" s="14"/>
      <c r="AA32" s="14"/>
      <c r="AB32" s="14"/>
      <c r="AC32" s="14"/>
      <c r="AD32" s="14"/>
    </row>
    <row r="33" spans="1:30" x14ac:dyDescent="0.2">
      <c r="A33" s="13"/>
      <c r="B33" s="9"/>
      <c r="C33" s="9"/>
      <c r="D33" s="9"/>
      <c r="E33" s="13"/>
      <c r="F33" s="9"/>
      <c r="G33" s="11"/>
      <c r="H33" s="14"/>
      <c r="I33" s="14"/>
      <c r="J33" s="14"/>
      <c r="K33" s="14"/>
      <c r="L33" s="14"/>
      <c r="O33" s="11"/>
      <c r="P33" s="13"/>
      <c r="Q33" s="14"/>
      <c r="R33" s="13"/>
      <c r="S33" s="13"/>
      <c r="T33" s="13"/>
      <c r="U33" s="13"/>
      <c r="V33" s="13"/>
      <c r="W33" s="13"/>
      <c r="X33" s="13"/>
      <c r="Y33" s="11"/>
      <c r="Z33" s="14"/>
      <c r="AA33" s="14"/>
      <c r="AB33" s="14"/>
      <c r="AC33" s="14"/>
      <c r="AD33" s="14"/>
    </row>
    <row r="34" spans="1:30" x14ac:dyDescent="0.2">
      <c r="A34" s="13"/>
      <c r="B34" s="9"/>
      <c r="C34" s="9"/>
      <c r="D34" s="9"/>
      <c r="E34" s="13"/>
      <c r="F34" s="9"/>
      <c r="G34" s="11"/>
      <c r="H34" s="14"/>
      <c r="I34" s="14"/>
      <c r="J34" s="14"/>
      <c r="K34" s="14"/>
      <c r="L34" s="14"/>
      <c r="O34" s="11"/>
      <c r="P34" s="13"/>
      <c r="Q34" s="14"/>
      <c r="R34" s="13"/>
      <c r="S34" s="13"/>
      <c r="T34" s="13"/>
      <c r="U34" s="13"/>
      <c r="V34" s="13"/>
      <c r="W34" s="13"/>
      <c r="X34" s="13"/>
      <c r="Y34" s="11"/>
      <c r="Z34" s="14"/>
      <c r="AA34" s="14"/>
      <c r="AB34" s="14"/>
      <c r="AC34" s="14"/>
      <c r="AD34" s="14"/>
    </row>
    <row r="35" spans="1:30" x14ac:dyDescent="0.2">
      <c r="A35" s="13"/>
      <c r="B35" s="9"/>
      <c r="C35" s="9"/>
      <c r="D35" s="9"/>
      <c r="E35" s="13"/>
      <c r="F35" s="9"/>
      <c r="G35" s="11"/>
      <c r="H35" s="14"/>
      <c r="I35" s="14"/>
      <c r="J35" s="14"/>
      <c r="K35" s="14"/>
      <c r="L35" s="14"/>
      <c r="O35" s="11"/>
      <c r="P35" s="13"/>
      <c r="Q35" s="14"/>
      <c r="R35" s="13"/>
      <c r="S35" s="13"/>
      <c r="T35" s="13"/>
      <c r="U35" s="13"/>
      <c r="V35" s="13"/>
      <c r="W35" s="13"/>
      <c r="X35" s="13"/>
      <c r="Y35" s="11"/>
      <c r="Z35" s="14"/>
      <c r="AA35" s="14"/>
      <c r="AB35" s="14"/>
      <c r="AC35" s="14"/>
      <c r="AD35" s="14"/>
    </row>
    <row r="36" spans="1:30" x14ac:dyDescent="0.2">
      <c r="A36" s="13"/>
      <c r="B36" s="9"/>
      <c r="C36" s="9"/>
      <c r="D36" s="9"/>
      <c r="E36" s="13"/>
      <c r="F36" s="9"/>
      <c r="G36" s="11"/>
      <c r="H36" s="14"/>
      <c r="I36" s="14"/>
      <c r="J36" s="14"/>
      <c r="K36" s="14"/>
      <c r="L36" s="14"/>
      <c r="O36" s="11"/>
      <c r="P36" s="13"/>
      <c r="Q36" s="14"/>
      <c r="R36" s="13"/>
      <c r="S36" s="13"/>
      <c r="T36" s="13"/>
      <c r="U36" s="13"/>
      <c r="V36" s="13"/>
      <c r="W36" s="13"/>
      <c r="X36" s="13"/>
      <c r="Y36" s="11"/>
      <c r="Z36" s="14"/>
      <c r="AA36" s="14"/>
      <c r="AB36" s="14"/>
      <c r="AC36" s="14"/>
      <c r="AD36" s="14"/>
    </row>
    <row r="37" spans="1:30" x14ac:dyDescent="0.2">
      <c r="A37" s="13"/>
      <c r="B37" s="9"/>
      <c r="C37" s="9"/>
      <c r="D37" s="9"/>
      <c r="E37" s="13"/>
      <c r="F37" s="9"/>
      <c r="G37" s="11"/>
      <c r="H37" s="14"/>
      <c r="I37" s="14"/>
      <c r="J37" s="14"/>
      <c r="K37" s="14"/>
      <c r="L37" s="14"/>
      <c r="O37" s="11"/>
      <c r="P37" s="13"/>
      <c r="Q37" s="14"/>
      <c r="R37" s="13"/>
      <c r="S37" s="13"/>
      <c r="T37" s="13"/>
      <c r="U37" s="13"/>
      <c r="V37" s="13"/>
      <c r="W37" s="13"/>
      <c r="X37" s="13"/>
      <c r="Y37" s="11"/>
      <c r="Z37" s="14"/>
      <c r="AA37" s="14"/>
      <c r="AB37" s="14"/>
      <c r="AC37" s="14"/>
      <c r="AD37" s="14"/>
    </row>
    <row r="38" spans="1:30" x14ac:dyDescent="0.2">
      <c r="A38" s="13"/>
      <c r="B38" s="9"/>
      <c r="C38" s="9"/>
      <c r="D38" s="9"/>
      <c r="E38" s="13"/>
      <c r="F38" s="9"/>
      <c r="G38" s="11"/>
      <c r="H38" s="14"/>
      <c r="I38" s="14"/>
      <c r="J38" s="14"/>
      <c r="K38" s="14"/>
      <c r="L38" s="14"/>
      <c r="O38" s="11"/>
      <c r="P38" s="13"/>
      <c r="Q38" s="14"/>
      <c r="R38" s="13"/>
      <c r="S38" s="13"/>
      <c r="T38" s="13"/>
      <c r="U38" s="13"/>
      <c r="V38" s="13"/>
      <c r="W38" s="13"/>
      <c r="X38" s="13"/>
      <c r="Y38" s="11"/>
      <c r="Z38" s="14"/>
      <c r="AA38" s="14"/>
      <c r="AB38" s="14"/>
      <c r="AC38" s="14"/>
      <c r="AD38" s="14"/>
    </row>
    <row r="39" spans="1:30" x14ac:dyDescent="0.2">
      <c r="A39" s="13"/>
      <c r="B39" s="9"/>
      <c r="C39" s="9"/>
      <c r="D39" s="9"/>
      <c r="E39" s="13"/>
      <c r="F39" s="9"/>
      <c r="G39" s="11"/>
      <c r="H39" s="14"/>
      <c r="I39" s="14"/>
      <c r="J39" s="14"/>
      <c r="K39" s="14"/>
      <c r="L39" s="14"/>
      <c r="O39" s="11"/>
      <c r="P39" s="13"/>
      <c r="Q39" s="14"/>
      <c r="R39" s="13"/>
      <c r="S39" s="13"/>
      <c r="T39" s="13"/>
      <c r="U39" s="13"/>
      <c r="V39" s="13"/>
      <c r="W39" s="13"/>
      <c r="X39" s="13"/>
      <c r="Y39" s="11"/>
      <c r="Z39" s="14"/>
      <c r="AA39" s="14"/>
      <c r="AB39" s="14"/>
      <c r="AC39" s="14"/>
      <c r="AD39" s="14"/>
    </row>
    <row r="40" spans="1:30" x14ac:dyDescent="0.2">
      <c r="A40" s="13"/>
      <c r="B40" s="9"/>
      <c r="C40" s="9"/>
      <c r="D40" s="9"/>
      <c r="E40" s="13"/>
      <c r="F40" s="9"/>
      <c r="G40" s="11"/>
      <c r="H40" s="14"/>
      <c r="I40" s="14"/>
      <c r="J40" s="14"/>
      <c r="K40" s="14"/>
      <c r="L40" s="14"/>
      <c r="O40" s="11"/>
      <c r="P40" s="13"/>
      <c r="Q40" s="14"/>
      <c r="R40" s="13"/>
      <c r="S40" s="13"/>
      <c r="T40" s="13"/>
      <c r="U40" s="13"/>
      <c r="V40" s="13"/>
      <c r="W40" s="13"/>
      <c r="X40" s="13"/>
      <c r="Y40" s="11"/>
      <c r="Z40" s="14"/>
      <c r="AA40" s="14"/>
      <c r="AB40" s="14"/>
      <c r="AC40" s="14"/>
      <c r="AD40" s="14"/>
    </row>
    <row r="41" spans="1:30" x14ac:dyDescent="0.2">
      <c r="A41" s="13"/>
      <c r="B41" s="9"/>
      <c r="C41" s="9"/>
      <c r="D41" s="9"/>
      <c r="E41" s="13"/>
      <c r="F41" s="9"/>
      <c r="G41" s="11"/>
      <c r="H41" s="14"/>
      <c r="I41" s="14"/>
      <c r="J41" s="14"/>
      <c r="K41" s="14"/>
      <c r="L41" s="14"/>
      <c r="O41" s="11"/>
      <c r="P41" s="13"/>
      <c r="Q41" s="14"/>
      <c r="R41" s="13"/>
      <c r="S41" s="13"/>
      <c r="T41" s="13"/>
      <c r="U41" s="13"/>
      <c r="V41" s="13"/>
      <c r="W41" s="13"/>
      <c r="X41" s="13"/>
      <c r="Y41" s="11"/>
      <c r="Z41" s="14"/>
      <c r="AA41" s="14"/>
      <c r="AB41" s="14"/>
      <c r="AC41" s="14"/>
      <c r="AD41" s="14"/>
    </row>
    <row r="42" spans="1:30" x14ac:dyDescent="0.2">
      <c r="A42" s="13"/>
      <c r="B42" s="9"/>
      <c r="C42" s="9"/>
      <c r="D42" s="9"/>
      <c r="E42" s="13"/>
      <c r="F42" s="9"/>
      <c r="G42" s="11"/>
      <c r="H42" s="14"/>
      <c r="I42" s="14"/>
      <c r="J42" s="14"/>
      <c r="K42" s="14"/>
      <c r="L42" s="14"/>
      <c r="O42" s="11"/>
      <c r="P42" s="13"/>
      <c r="Q42" s="14"/>
      <c r="R42" s="13"/>
      <c r="S42" s="13"/>
      <c r="T42" s="13"/>
      <c r="U42" s="13"/>
      <c r="V42" s="13"/>
      <c r="W42" s="13"/>
      <c r="X42" s="13"/>
      <c r="Y42" s="11"/>
      <c r="Z42" s="14"/>
      <c r="AA42" s="14"/>
      <c r="AB42" s="14"/>
      <c r="AC42" s="14"/>
      <c r="AD42" s="14"/>
    </row>
    <row r="43" spans="1:30" x14ac:dyDescent="0.2">
      <c r="A43" s="13"/>
      <c r="B43" s="9"/>
      <c r="C43" s="9"/>
      <c r="D43" s="9"/>
      <c r="E43" s="13"/>
      <c r="F43" s="9"/>
      <c r="G43" s="11"/>
      <c r="H43" s="14"/>
      <c r="I43" s="14"/>
      <c r="J43" s="14"/>
      <c r="K43" s="14"/>
      <c r="L43" s="14"/>
      <c r="O43" s="11"/>
      <c r="P43" s="13"/>
      <c r="Q43" s="14"/>
      <c r="R43" s="13"/>
      <c r="S43" s="13"/>
      <c r="T43" s="13"/>
      <c r="U43" s="13"/>
      <c r="V43" s="13"/>
      <c r="W43" s="13"/>
      <c r="X43" s="13"/>
      <c r="Y43" s="11"/>
      <c r="Z43" s="14"/>
      <c r="AA43" s="14"/>
      <c r="AB43" s="14"/>
      <c r="AC43" s="14"/>
      <c r="AD43" s="14"/>
    </row>
    <row r="44" spans="1:30" x14ac:dyDescent="0.2">
      <c r="A44" s="13"/>
      <c r="B44" s="9"/>
      <c r="C44" s="9"/>
      <c r="D44" s="9"/>
      <c r="E44" s="13"/>
      <c r="F44" s="9"/>
      <c r="G44" s="11"/>
      <c r="H44" s="14"/>
      <c r="I44" s="14"/>
      <c r="J44" s="14"/>
      <c r="K44" s="14"/>
      <c r="L44" s="14"/>
      <c r="O44" s="11"/>
      <c r="P44" s="13"/>
      <c r="Q44" s="14"/>
      <c r="R44" s="13"/>
      <c r="S44" s="13"/>
      <c r="T44" s="13"/>
      <c r="U44" s="13"/>
      <c r="V44" s="13"/>
      <c r="W44" s="13"/>
      <c r="X44" s="13"/>
      <c r="Y44" s="11"/>
      <c r="Z44" s="14"/>
      <c r="AA44" s="14"/>
      <c r="AB44" s="14"/>
      <c r="AC44" s="14"/>
      <c r="AD44" s="14"/>
    </row>
    <row r="45" spans="1:30" x14ac:dyDescent="0.2">
      <c r="A45" s="13"/>
      <c r="B45" s="9"/>
      <c r="C45" s="9"/>
      <c r="D45" s="9"/>
      <c r="E45" s="13"/>
      <c r="F45" s="9"/>
      <c r="G45" s="11"/>
      <c r="H45" s="14"/>
      <c r="I45" s="14"/>
      <c r="J45" s="14"/>
      <c r="K45" s="14"/>
      <c r="L45" s="14"/>
      <c r="O45" s="11"/>
      <c r="P45" s="13"/>
      <c r="Q45" s="14"/>
      <c r="R45" s="13"/>
      <c r="S45" s="13"/>
      <c r="T45" s="13"/>
      <c r="U45" s="13"/>
      <c r="V45" s="13"/>
      <c r="W45" s="13"/>
      <c r="X45" s="13"/>
      <c r="Y45" s="11"/>
      <c r="Z45" s="14"/>
      <c r="AA45" s="14"/>
      <c r="AB45" s="14"/>
      <c r="AC45" s="14"/>
      <c r="AD45" s="14"/>
    </row>
    <row r="46" spans="1:30" x14ac:dyDescent="0.2">
      <c r="A46" s="13"/>
      <c r="B46" s="9"/>
      <c r="C46" s="9"/>
      <c r="D46" s="9"/>
      <c r="E46" s="13"/>
      <c r="F46" s="9"/>
      <c r="G46" s="11"/>
      <c r="H46" s="14"/>
      <c r="I46" s="14"/>
      <c r="J46" s="14"/>
      <c r="K46" s="14"/>
      <c r="L46" s="14"/>
      <c r="O46" s="11"/>
      <c r="P46" s="13"/>
      <c r="Q46" s="14"/>
      <c r="R46" s="13"/>
      <c r="S46" s="13"/>
      <c r="T46" s="13"/>
      <c r="U46" s="13"/>
      <c r="V46" s="13"/>
      <c r="W46" s="13"/>
      <c r="X46" s="13"/>
      <c r="Y46" s="11"/>
      <c r="Z46" s="14"/>
      <c r="AA46" s="14"/>
      <c r="AB46" s="14"/>
      <c r="AC46" s="14"/>
      <c r="AD46" s="14"/>
    </row>
    <row r="47" spans="1:30" x14ac:dyDescent="0.2">
      <c r="A47" s="13"/>
      <c r="B47" s="9"/>
      <c r="C47" s="9"/>
      <c r="D47" s="9"/>
      <c r="E47" s="13"/>
      <c r="F47" s="9"/>
      <c r="G47" s="11"/>
      <c r="H47" s="14"/>
      <c r="I47" s="14"/>
      <c r="J47" s="14"/>
      <c r="K47" s="14"/>
      <c r="L47" s="14"/>
      <c r="O47" s="11"/>
      <c r="P47" s="13"/>
      <c r="Q47" s="14"/>
      <c r="R47" s="13"/>
      <c r="S47" s="13"/>
      <c r="T47" s="13"/>
      <c r="U47" s="13"/>
      <c r="V47" s="13"/>
      <c r="W47" s="13"/>
      <c r="X47" s="13"/>
      <c r="Y47" s="11"/>
      <c r="Z47" s="14"/>
      <c r="AA47" s="14"/>
      <c r="AB47" s="14"/>
      <c r="AC47" s="14"/>
      <c r="AD47" s="14"/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zoomScale="80" zoomScaleNormal="80" workbookViewId="0">
      <selection activeCell="Q8" sqref="Q8:Q9"/>
    </sheetView>
  </sheetViews>
  <sheetFormatPr defaultRowHeight="12.75" x14ac:dyDescent="0.2"/>
  <cols>
    <col min="3" max="3" width="10.7109375" customWidth="1"/>
    <col min="4" max="4" width="11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0.1</v>
      </c>
      <c r="R4" s="8" t="s">
        <v>49</v>
      </c>
      <c r="S4" s="33">
        <v>0.1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0.14000000000000001</v>
      </c>
      <c r="R5" s="8" t="s">
        <v>51</v>
      </c>
      <c r="S5" s="33">
        <v>0.14000000000000001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74</v>
      </c>
      <c r="P8" s="30"/>
      <c r="Q8" s="8" t="s">
        <v>49</v>
      </c>
      <c r="R8" s="34">
        <f>(ABS(Q4)+ABS(S4))/2</f>
        <v>0.1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7">
        <v>2.75</v>
      </c>
      <c r="P9" s="35"/>
      <c r="Q9" s="36" t="s">
        <v>51</v>
      </c>
      <c r="R9" s="37">
        <f>(Q5+S5)/2</f>
        <v>0.14000000000000001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12.17</v>
      </c>
      <c r="O10" t="s">
        <v>59</v>
      </c>
    </row>
    <row r="11" spans="1:37" x14ac:dyDescent="0.2">
      <c r="C11" s="3" t="s">
        <v>60</v>
      </c>
      <c r="D11" s="55">
        <v>33.325434999999999</v>
      </c>
      <c r="G11" s="3" t="s">
        <v>77</v>
      </c>
      <c r="H11" s="54" t="s">
        <v>80</v>
      </c>
    </row>
    <row r="12" spans="1:37" x14ac:dyDescent="0.2">
      <c r="C12" s="3" t="s">
        <v>61</v>
      </c>
      <c r="D12" s="55">
        <v>-80.554277999999996</v>
      </c>
      <c r="G12" s="3" t="s">
        <v>78</v>
      </c>
      <c r="H12" s="54" t="s">
        <v>81</v>
      </c>
    </row>
    <row r="13" spans="1:37" x14ac:dyDescent="0.2">
      <c r="C13" s="3" t="s">
        <v>76</v>
      </c>
      <c r="D13" s="4">
        <v>102.9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25">
        <v>0.81</v>
      </c>
      <c r="D17" s="25">
        <v>3.55</v>
      </c>
      <c r="E17" s="15"/>
      <c r="F17" s="15"/>
      <c r="G17" s="27">
        <v>1</v>
      </c>
      <c r="H17" s="40">
        <f t="shared" ref="H17:H28" si="0">IF(G17=1,$R$8,IF(G17=2,$W$8,$AB$8))</f>
        <v>0.1</v>
      </c>
      <c r="I17" s="40">
        <f t="shared" ref="I17:I28" si="1">IF(G17=1,$R$9,IF(G17=2,$W$9,$AB$9))</f>
        <v>0.14000000000000001</v>
      </c>
      <c r="J17" s="11">
        <f>IF(F17="y",-99,1.05*(C17-$L$4+H17)-0.05*(D17-$L$4-I17))</f>
        <v>0.78500000000000014</v>
      </c>
      <c r="K17" s="11">
        <f>IF(F17="y",-99,D17-$L$4-I17)</f>
        <v>3.4099999999999997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103.17502042396367</v>
      </c>
      <c r="P17" s="9">
        <f>O17*B17</f>
        <v>104.94034583050571</v>
      </c>
      <c r="Q17" s="13">
        <f t="shared" ref="Q17:Q19" si="2">P17-M17</f>
        <v>104.94034583050571</v>
      </c>
      <c r="R17" s="11">
        <f>P17/2088.54</f>
        <v>5.024579171598615E-2</v>
      </c>
      <c r="S17" s="11">
        <f>Q17/2088.54</f>
        <v>5.024579171598615E-2</v>
      </c>
      <c r="T17" s="11">
        <f>IF(F17="y",-99,(K17-J17)/(J17-N17))</f>
        <v>3.3439490445859863</v>
      </c>
      <c r="U17" s="13">
        <f>IF(F17="y",-99,(J17-N17)/S17)</f>
        <v>15.623198942454824</v>
      </c>
      <c r="V17" s="11">
        <f>IF(F17="y",-99,IF(J17&gt;K17,-1,34.7*(K17-J17)))</f>
        <v>91.087499999999991</v>
      </c>
      <c r="W17" s="11">
        <f t="shared" ref="W17:W28" si="3">IF(F17="y",-99,IF(T17&gt;=1.2,-99,(U17/1.5)^0.47-0.6))</f>
        <v>-99</v>
      </c>
      <c r="X17" s="11">
        <f t="shared" ref="X17:X28" si="4">IF(F17="y",-99,IF(T17&lt;1.2,0.509*(J17-N17)/S17,-99))</f>
        <v>-99</v>
      </c>
      <c r="Y17" s="11">
        <f t="shared" ref="Y17:Y28" si="5">IF(F17="y",-99,IF(T17&lt;1.2,(0.5*U17)^1.56,-99))</f>
        <v>-99</v>
      </c>
      <c r="Z17" s="11">
        <f t="shared" ref="Z17:Z28" si="6">IF(F17="y",-99,IF(T17&lt;1.2,0.22*S17*((0.5*U17)^1.25),-99))</f>
        <v>-99</v>
      </c>
      <c r="AA17" s="11">
        <f t="shared" ref="AA17:AA28" si="7">IF(F17="y",-99,IF(T17&lt;1.2,(J17-N17)/10,-99))</f>
        <v>-99</v>
      </c>
      <c r="AB17" s="13">
        <f t="shared" ref="AB17:AB28" si="8">IF(F17="y",-99,IF(T17&gt;=1.8,28+14.6*LOG(U17)-2.1*(LOG(U17)^2),-99))</f>
        <v>42.436359338337965</v>
      </c>
      <c r="AC17" s="11">
        <f t="shared" ref="AC17:AC28" si="9">IF(F17="y",-99,MAX(0.85,IF(U17&gt;10,0.32+2.18*LOG(U17),IF(T17&lt;=0.6,0.14+2.36*LOG(U17),IF(T17&gt;=3,0.5+2*LOG(U17),(0.14+0.15*(T17-0.6)+(2.5-(0.14+0.15*(T17-0.6)))*LOG(U17)))))))</f>
        <v>2.9224185193664058</v>
      </c>
      <c r="AD17" s="13">
        <f t="shared" ref="AD17:AD28" si="10">IF(F17="y",-99,IF(AC17&lt;0.85,0.85*V17,AC17*V17))</f>
        <v>266.19579688278748</v>
      </c>
      <c r="AE17" s="13">
        <f t="shared" ref="AE17:AE28" si="11">IF(F17="y",-99,V17*2088.54/1000)</f>
        <v>190.23988724999998</v>
      </c>
      <c r="AF17" s="14">
        <f t="shared" ref="AF17:AF28" si="12">IF(F17="y",-99,IF(Z17=-99,-99,Z17*2088.54))</f>
        <v>-99</v>
      </c>
      <c r="AG17" s="14">
        <f t="shared" ref="AG17:AG28" si="13">IF(F17="y",-99,IF(AA17=-99,-99,AA17*2088.54))</f>
        <v>-99</v>
      </c>
      <c r="AH17" s="13">
        <f t="shared" ref="AH17:AH28" si="14">IF(F17="y",-99,AD17*2088.54/1000)</f>
        <v>555.96056962157695</v>
      </c>
    </row>
    <row r="18" spans="2:35" x14ac:dyDescent="0.2">
      <c r="B18" s="46">
        <v>2.0014100469350815</v>
      </c>
      <c r="C18" s="25">
        <v>2.3199999999999998</v>
      </c>
      <c r="D18" s="25">
        <v>13.53</v>
      </c>
      <c r="E18" s="15"/>
      <c r="F18" s="15"/>
      <c r="G18" s="27">
        <v>1</v>
      </c>
      <c r="H18" s="40">
        <f t="shared" si="0"/>
        <v>0.1</v>
      </c>
      <c r="I18" s="40">
        <f t="shared" si="1"/>
        <v>0.14000000000000001</v>
      </c>
      <c r="J18" s="11">
        <f t="shared" ref="J18:J28" si="15">IF(F18="y",-99,1.05*(C18-$L$4+H18)-0.05*(D18-$L$4-I18))</f>
        <v>1.8714999999999999</v>
      </c>
      <c r="K18" s="11">
        <f t="shared" ref="K18:K28" si="16">IF(F18="y",-99,D18-$L$4-I18)</f>
        <v>13.389999999999999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116.02562143907316</v>
      </c>
      <c r="P18" s="9">
        <f>P17+(B18-B17)*O18</f>
        <v>219.1443695510454</v>
      </c>
      <c r="Q18" s="13">
        <f t="shared" si="2"/>
        <v>219.1443695510454</v>
      </c>
      <c r="R18" s="11">
        <f>P18/2088.54</f>
        <v>0.10492706366698526</v>
      </c>
      <c r="S18" s="11">
        <f>Q18/2088.54</f>
        <v>0.10492706366698526</v>
      </c>
      <c r="T18" s="11">
        <f t="shared" ref="T18:T19" si="20">IF(F18="y",-99,(K18-J18)/(J18-N18))</f>
        <v>6.1546887523376972</v>
      </c>
      <c r="U18" s="13">
        <f t="shared" ref="U18:U19" si="21">IF(F18="y",-99,(J18-N18)/S18)</f>
        <v>17.836199113888455</v>
      </c>
      <c r="V18" s="11">
        <f t="shared" ref="V18:V19" si="22">IF(F18="y",-99,IF(J18&gt;K18,-1,34.7*(K18-J18)))</f>
        <v>399.69195000000002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42.980923054989724</v>
      </c>
      <c r="AC18" s="11">
        <f t="shared" si="9"/>
        <v>3.047839040025734</v>
      </c>
      <c r="AD18" s="13">
        <f t="shared" si="10"/>
        <v>1218.1967291940136</v>
      </c>
      <c r="AE18" s="13">
        <f t="shared" si="11"/>
        <v>834.77262525300011</v>
      </c>
      <c r="AF18" s="14">
        <f t="shared" si="12"/>
        <v>-99</v>
      </c>
      <c r="AG18" s="14">
        <f t="shared" si="13"/>
        <v>-99</v>
      </c>
      <c r="AH18" s="13">
        <f t="shared" si="14"/>
        <v>2544.252596790865</v>
      </c>
    </row>
    <row r="19" spans="2:35" x14ac:dyDescent="0.2">
      <c r="B19" s="46">
        <v>3.018520054757595</v>
      </c>
      <c r="C19" s="25">
        <v>7.49</v>
      </c>
      <c r="D19" s="25">
        <v>13.73</v>
      </c>
      <c r="E19" s="15"/>
      <c r="F19" s="15"/>
      <c r="G19" s="27">
        <v>1</v>
      </c>
      <c r="H19" s="40">
        <f t="shared" si="0"/>
        <v>0.1</v>
      </c>
      <c r="I19" s="40">
        <f t="shared" si="1"/>
        <v>0.14000000000000001</v>
      </c>
      <c r="J19" s="11">
        <f t="shared" si="15"/>
        <v>7.29</v>
      </c>
      <c r="K19" s="11">
        <f t="shared" si="16"/>
        <v>13.59</v>
      </c>
      <c r="L19" s="11" t="str">
        <f t="shared" si="17"/>
        <v/>
      </c>
      <c r="M19" s="14">
        <f t="shared" ref="M19:M20" si="23">IF(B19&gt;$D$9,(B19-$D$9)*62.4,0)</f>
        <v>16.755651416873928</v>
      </c>
      <c r="N19" s="11">
        <f t="shared" si="18"/>
        <v>8.0226624421241288E-3</v>
      </c>
      <c r="O19">
        <f t="shared" si="19"/>
        <v>120.490861321895</v>
      </c>
      <c r="P19" s="9">
        <f>P18+(B19-B18)*O19</f>
        <v>341.69683045269937</v>
      </c>
      <c r="Q19" s="13">
        <f t="shared" si="2"/>
        <v>324.94117903582543</v>
      </c>
      <c r="R19" s="11">
        <f t="shared" ref="R19:R20" si="24">P19/2088.54</f>
        <v>0.16360559551298964</v>
      </c>
      <c r="S19" s="11">
        <f t="shared" ref="S19:S20" si="25">Q19/2088.54</f>
        <v>0.15558293307086551</v>
      </c>
      <c r="T19" s="11">
        <f t="shared" si="20"/>
        <v>0.86514963010209012</v>
      </c>
      <c r="U19" s="13">
        <f t="shared" si="21"/>
        <v>46.804473947287349</v>
      </c>
      <c r="V19" s="11">
        <f t="shared" si="22"/>
        <v>218.61</v>
      </c>
      <c r="W19" s="11">
        <f t="shared" si="3"/>
        <v>4.4381625040793464</v>
      </c>
      <c r="X19" s="11">
        <f t="shared" si="4"/>
        <v>23.823477239169261</v>
      </c>
      <c r="Y19" s="11">
        <f t="shared" si="5"/>
        <v>136.78595329655838</v>
      </c>
      <c r="Z19" s="11">
        <f t="shared" si="6"/>
        <v>1.7617989684434594</v>
      </c>
      <c r="AA19" s="11">
        <f t="shared" si="7"/>
        <v>0.72819773375578767</v>
      </c>
      <c r="AB19" s="13">
        <f t="shared" si="8"/>
        <v>-99</v>
      </c>
      <c r="AC19" s="11">
        <f t="shared" si="9"/>
        <v>3.9612264631353367</v>
      </c>
      <c r="AD19" s="13">
        <f t="shared" si="10"/>
        <v>865.96371710601602</v>
      </c>
      <c r="AE19" s="13">
        <f t="shared" si="11"/>
        <v>456.5757294</v>
      </c>
      <c r="AF19" s="14">
        <f t="shared" si="12"/>
        <v>3679.5876175529024</v>
      </c>
      <c r="AG19" s="14">
        <f t="shared" si="13"/>
        <v>1520.8700948583128</v>
      </c>
      <c r="AH19" s="13">
        <f t="shared" si="14"/>
        <v>1808.5998617245987</v>
      </c>
    </row>
    <row r="20" spans="2:35" x14ac:dyDescent="0.2">
      <c r="B20" s="46">
        <v>4.0356300625801085</v>
      </c>
      <c r="C20" s="25">
        <v>4.62</v>
      </c>
      <c r="D20" s="25">
        <v>12.9</v>
      </c>
      <c r="E20" s="15"/>
      <c r="F20" s="15"/>
      <c r="G20" s="27">
        <v>1</v>
      </c>
      <c r="H20" s="40">
        <f t="shared" si="0"/>
        <v>0.1</v>
      </c>
      <c r="I20" s="40">
        <f t="shared" si="1"/>
        <v>0.14000000000000001</v>
      </c>
      <c r="J20" s="11">
        <f t="shared" si="15"/>
        <v>4.3179999999999996</v>
      </c>
      <c r="K20" s="11">
        <f t="shared" si="16"/>
        <v>12.76</v>
      </c>
      <c r="L20" s="11" t="str">
        <f t="shared" ref="L20:L28" si="26">IF(F20="Y",-99,IF(E20="","",IF(E20=0,"",E20-$L$4+$R$8)))</f>
        <v/>
      </c>
      <c r="M20" s="14">
        <f t="shared" si="23"/>
        <v>80.223315904998771</v>
      </c>
      <c r="N20" s="11">
        <f t="shared" ref="N20:N28" si="27">M20/2088.54</f>
        <v>3.8411194377411383E-2</v>
      </c>
      <c r="O20">
        <f t="shared" ref="O20:O28" si="28">IF(F20="y",130,1.12*$D$10*(V20/1.013)^0.1*(T20)^-0.05)</f>
        <v>119.06030337360878</v>
      </c>
      <c r="P20" s="9">
        <f t="shared" ref="P20:P28" si="29">P19+(B20-B19)*O20</f>
        <v>462.79425654838144</v>
      </c>
      <c r="Q20" s="13">
        <f t="shared" ref="Q20:Q28" si="30">P20-M20</f>
        <v>382.57094064338264</v>
      </c>
      <c r="R20" s="11">
        <f t="shared" si="24"/>
        <v>0.22158745178372521</v>
      </c>
      <c r="S20" s="11">
        <f t="shared" si="25"/>
        <v>0.18317625740631382</v>
      </c>
      <c r="T20" s="11">
        <f t="shared" ref="T20:T28" si="31">IF(F20="y",-99,(K20-J20)/(J20-N20))</f>
        <v>1.9726194229008107</v>
      </c>
      <c r="U20" s="13">
        <f t="shared" ref="U20:U28" si="32">IF(F20="y",-99,(J20-N20)/S20)</f>
        <v>23.363228762392421</v>
      </c>
      <c r="V20" s="11">
        <f t="shared" ref="V20:V28" si="33">IF(F20="y",-99,IF(J20&gt;K20,-1,34.7*(K20-J20)))</f>
        <v>292.93740000000003</v>
      </c>
      <c r="W20" s="11">
        <f t="shared" si="3"/>
        <v>-99</v>
      </c>
      <c r="X20" s="11">
        <f t="shared" si="4"/>
        <v>-99</v>
      </c>
      <c r="Y20" s="11">
        <f t="shared" si="5"/>
        <v>-99</v>
      </c>
      <c r="Z20" s="11">
        <f t="shared" si="6"/>
        <v>-99</v>
      </c>
      <c r="AA20" s="11">
        <f t="shared" si="7"/>
        <v>-99</v>
      </c>
      <c r="AB20" s="13">
        <f t="shared" si="8"/>
        <v>44.047527171876105</v>
      </c>
      <c r="AC20" s="11">
        <f t="shared" si="9"/>
        <v>3.3034016378945101</v>
      </c>
      <c r="AD20" s="13">
        <f t="shared" si="10"/>
        <v>967.68988696055931</v>
      </c>
      <c r="AE20" s="13">
        <f t="shared" si="11"/>
        <v>611.8114773960001</v>
      </c>
      <c r="AF20" s="14">
        <f t="shared" si="12"/>
        <v>-99</v>
      </c>
      <c r="AG20" s="14">
        <f t="shared" si="13"/>
        <v>-99</v>
      </c>
      <c r="AH20" s="13">
        <f t="shared" si="14"/>
        <v>2021.0590365126066</v>
      </c>
    </row>
    <row r="21" spans="2:35" x14ac:dyDescent="0.2">
      <c r="B21" s="46">
        <v>5.0527398748397827</v>
      </c>
      <c r="C21" s="25">
        <v>6.45</v>
      </c>
      <c r="D21" s="25">
        <v>12.69</v>
      </c>
      <c r="E21" s="15"/>
      <c r="F21" s="15"/>
      <c r="G21" s="27">
        <v>1</v>
      </c>
      <c r="H21" s="40">
        <f t="shared" si="0"/>
        <v>0.1</v>
      </c>
      <c r="I21" s="40">
        <f t="shared" si="1"/>
        <v>0.14000000000000001</v>
      </c>
      <c r="J21" s="11">
        <f t="shared" si="15"/>
        <v>6.25</v>
      </c>
      <c r="K21" s="11">
        <f t="shared" si="16"/>
        <v>12.549999999999999</v>
      </c>
      <c r="L21" s="11" t="str">
        <f t="shared" si="26"/>
        <v/>
      </c>
      <c r="M21" s="14">
        <f t="shared" ref="M21:M28" si="34">IF(B21&gt;$D$9,(B21-$D$9)*62.4,0)</f>
        <v>143.69096819000245</v>
      </c>
      <c r="N21" s="11">
        <f t="shared" si="27"/>
        <v>6.8799720469803052E-2</v>
      </c>
      <c r="O21">
        <f t="shared" si="28"/>
        <v>119.50753361058895</v>
      </c>
      <c r="P21" s="9">
        <f t="shared" si="29"/>
        <v>584.34654162266429</v>
      </c>
      <c r="Q21" s="13">
        <f t="shared" si="30"/>
        <v>440.65557343266187</v>
      </c>
      <c r="R21" s="11">
        <f t="shared" ref="R21:R28" si="35">P21/2088.54</f>
        <v>0.27978709606838476</v>
      </c>
      <c r="S21" s="11">
        <f t="shared" ref="S21:S28" si="36">Q21/2088.54</f>
        <v>0.21098737559858172</v>
      </c>
      <c r="T21" s="11">
        <f t="shared" si="31"/>
        <v>1.0192195229239249</v>
      </c>
      <c r="U21" s="13">
        <f t="shared" si="32"/>
        <v>29.296540904373177</v>
      </c>
      <c r="V21" s="11">
        <f t="shared" si="33"/>
        <v>218.60999999999999</v>
      </c>
      <c r="W21" s="11">
        <f t="shared" si="3"/>
        <v>3.4424140119906093</v>
      </c>
      <c r="X21" s="11">
        <f t="shared" si="4"/>
        <v>14.911939320325949</v>
      </c>
      <c r="Y21" s="11">
        <f t="shared" si="5"/>
        <v>65.860755103905092</v>
      </c>
      <c r="Z21" s="11">
        <f t="shared" si="6"/>
        <v>1.3301851287101865</v>
      </c>
      <c r="AA21" s="11">
        <f t="shared" si="7"/>
        <v>0.61812002795301968</v>
      </c>
      <c r="AB21" s="13">
        <f t="shared" si="8"/>
        <v>-99</v>
      </c>
      <c r="AC21" s="11">
        <f t="shared" si="9"/>
        <v>3.5176596330708181</v>
      </c>
      <c r="AD21" s="13">
        <f t="shared" si="10"/>
        <v>768.99557238561147</v>
      </c>
      <c r="AE21" s="13">
        <f t="shared" si="11"/>
        <v>456.57572939999994</v>
      </c>
      <c r="AF21" s="14">
        <f t="shared" si="12"/>
        <v>2778.144848716373</v>
      </c>
      <c r="AG21" s="14">
        <f t="shared" si="13"/>
        <v>1290.9684031809998</v>
      </c>
      <c r="AH21" s="13">
        <f t="shared" si="14"/>
        <v>1606.0780127502449</v>
      </c>
    </row>
    <row r="22" spans="2:35" x14ac:dyDescent="0.2">
      <c r="B22" s="46">
        <v>6.0698500782251363</v>
      </c>
      <c r="C22" s="25">
        <v>3.67</v>
      </c>
      <c r="D22" s="25">
        <v>11.56</v>
      </c>
      <c r="E22" s="15"/>
      <c r="F22" s="15"/>
      <c r="G22" s="27">
        <v>1</v>
      </c>
      <c r="H22" s="40">
        <f t="shared" si="0"/>
        <v>0.1</v>
      </c>
      <c r="I22" s="40">
        <f t="shared" si="1"/>
        <v>0.14000000000000001</v>
      </c>
      <c r="J22" s="11">
        <f t="shared" si="15"/>
        <v>3.3875000000000002</v>
      </c>
      <c r="K22" s="11">
        <f t="shared" si="16"/>
        <v>11.42</v>
      </c>
      <c r="L22" s="11" t="str">
        <f t="shared" si="26"/>
        <v/>
      </c>
      <c r="M22" s="14">
        <f t="shared" si="34"/>
        <v>207.15864488124851</v>
      </c>
      <c r="N22" s="11">
        <f t="shared" si="27"/>
        <v>9.9188258247985925E-2</v>
      </c>
      <c r="O22">
        <f t="shared" si="28"/>
        <v>117.21030638144639</v>
      </c>
      <c r="P22" s="9">
        <f t="shared" si="29"/>
        <v>703.56234018515681</v>
      </c>
      <c r="Q22" s="13">
        <f t="shared" si="30"/>
        <v>496.40369530390831</v>
      </c>
      <c r="R22" s="11">
        <f t="shared" si="35"/>
        <v>0.33686802272647726</v>
      </c>
      <c r="S22" s="11">
        <f t="shared" si="36"/>
        <v>0.23767976447849135</v>
      </c>
      <c r="T22" s="11">
        <f t="shared" si="31"/>
        <v>2.442742851296781</v>
      </c>
      <c r="U22" s="13">
        <f t="shared" si="32"/>
        <v>13.835051330377718</v>
      </c>
      <c r="V22" s="11">
        <f t="shared" si="33"/>
        <v>278.72774999999996</v>
      </c>
      <c r="W22" s="11">
        <f t="shared" si="3"/>
        <v>-99</v>
      </c>
      <c r="X22" s="11">
        <f t="shared" si="4"/>
        <v>-99</v>
      </c>
      <c r="Y22" s="11">
        <f t="shared" si="5"/>
        <v>-99</v>
      </c>
      <c r="Z22" s="11">
        <f t="shared" si="6"/>
        <v>-99</v>
      </c>
      <c r="AA22" s="11">
        <f t="shared" si="7"/>
        <v>-99</v>
      </c>
      <c r="AB22" s="13">
        <f t="shared" si="8"/>
        <v>41.924461342168549</v>
      </c>
      <c r="AC22" s="11">
        <f t="shared" si="9"/>
        <v>2.8073380890331685</v>
      </c>
      <c r="AD22" s="13">
        <f t="shared" si="10"/>
        <v>782.48302904551463</v>
      </c>
      <c r="AE22" s="13">
        <f t="shared" si="11"/>
        <v>582.13405498499992</v>
      </c>
      <c r="AF22" s="14">
        <f t="shared" si="12"/>
        <v>-99</v>
      </c>
      <c r="AG22" s="14">
        <f t="shared" si="13"/>
        <v>-99</v>
      </c>
      <c r="AH22" s="13">
        <f t="shared" si="14"/>
        <v>1634.2471054827192</v>
      </c>
    </row>
    <row r="23" spans="2:35" x14ac:dyDescent="0.2">
      <c r="B23" s="46">
        <v>7.0869602816104891</v>
      </c>
      <c r="C23" s="25">
        <v>2.6</v>
      </c>
      <c r="D23" s="25">
        <v>8.86</v>
      </c>
      <c r="E23" s="15"/>
      <c r="F23" s="15"/>
      <c r="G23" s="27">
        <v>1</v>
      </c>
      <c r="H23" s="40">
        <f t="shared" si="0"/>
        <v>0.1</v>
      </c>
      <c r="I23" s="40">
        <f t="shared" si="1"/>
        <v>0.14000000000000001</v>
      </c>
      <c r="J23" s="11">
        <f t="shared" si="15"/>
        <v>2.3990000000000005</v>
      </c>
      <c r="K23" s="11">
        <f t="shared" si="16"/>
        <v>8.7199999999999989</v>
      </c>
      <c r="L23" s="11" t="str">
        <f t="shared" si="26"/>
        <v/>
      </c>
      <c r="M23" s="14">
        <f t="shared" si="34"/>
        <v>270.62632157249453</v>
      </c>
      <c r="N23" s="11">
        <f t="shared" si="27"/>
        <v>0.12957679602616878</v>
      </c>
      <c r="O23">
        <f t="shared" si="28"/>
        <v>113.68670498031435</v>
      </c>
      <c r="P23" s="9">
        <f t="shared" si="29"/>
        <v>819.19424780989493</v>
      </c>
      <c r="Q23" s="13">
        <f t="shared" si="30"/>
        <v>548.56792623740034</v>
      </c>
      <c r="R23" s="11">
        <f t="shared" si="35"/>
        <v>0.39223297030935245</v>
      </c>
      <c r="S23" s="11">
        <f t="shared" si="36"/>
        <v>0.26265617428318366</v>
      </c>
      <c r="T23" s="11">
        <f t="shared" si="31"/>
        <v>2.7852892263248772</v>
      </c>
      <c r="U23" s="13">
        <f t="shared" si="32"/>
        <v>8.6402811971480453</v>
      </c>
      <c r="V23" s="11">
        <f t="shared" si="33"/>
        <v>219.33869999999996</v>
      </c>
      <c r="W23" s="11">
        <f t="shared" si="3"/>
        <v>-99</v>
      </c>
      <c r="X23" s="11">
        <f t="shared" si="4"/>
        <v>-99</v>
      </c>
      <c r="Y23" s="11">
        <f t="shared" si="5"/>
        <v>-99</v>
      </c>
      <c r="Z23" s="11">
        <f t="shared" si="6"/>
        <v>-99</v>
      </c>
      <c r="AA23" s="11">
        <f t="shared" si="7"/>
        <v>-99</v>
      </c>
      <c r="AB23" s="13">
        <f t="shared" si="8"/>
        <v>39.8314296266431</v>
      </c>
      <c r="AC23" s="11">
        <f t="shared" si="9"/>
        <v>2.3710115312624125</v>
      </c>
      <c r="AD23" s="13">
        <f t="shared" si="10"/>
        <v>520.05458695210677</v>
      </c>
      <c r="AE23" s="13">
        <f t="shared" si="11"/>
        <v>458.09764849799996</v>
      </c>
      <c r="AF23" s="14">
        <f t="shared" si="12"/>
        <v>-99</v>
      </c>
      <c r="AG23" s="14">
        <f t="shared" si="13"/>
        <v>-99</v>
      </c>
      <c r="AH23" s="13">
        <f t="shared" si="14"/>
        <v>1086.1548070329529</v>
      </c>
    </row>
    <row r="24" spans="2:35" x14ac:dyDescent="0.2">
      <c r="B24" s="46">
        <v>8.1040700938701633</v>
      </c>
      <c r="C24" s="25">
        <v>2.86</v>
      </c>
      <c r="D24" s="25">
        <v>5.42</v>
      </c>
      <c r="E24" s="15"/>
      <c r="F24" s="15"/>
      <c r="G24" s="27">
        <v>1</v>
      </c>
      <c r="H24" s="40">
        <f t="shared" si="0"/>
        <v>0.1</v>
      </c>
      <c r="I24" s="40">
        <f t="shared" si="1"/>
        <v>0.14000000000000001</v>
      </c>
      <c r="J24" s="11">
        <f t="shared" si="15"/>
        <v>2.8440000000000003</v>
      </c>
      <c r="K24" s="11">
        <f t="shared" si="16"/>
        <v>5.28</v>
      </c>
      <c r="L24" s="11" t="str">
        <f t="shared" si="26"/>
        <v/>
      </c>
      <c r="M24" s="14">
        <f t="shared" si="34"/>
        <v>334.09397385749816</v>
      </c>
      <c r="N24" s="11">
        <f t="shared" si="27"/>
        <v>0.1599653221185604</v>
      </c>
      <c r="O24">
        <f t="shared" si="28"/>
        <v>109.30697751099434</v>
      </c>
      <c r="P24" s="9">
        <f t="shared" si="29"/>
        <v>930.37144718477487</v>
      </c>
      <c r="Q24" s="13">
        <f t="shared" si="30"/>
        <v>596.27747332727677</v>
      </c>
      <c r="R24" s="11">
        <f t="shared" si="35"/>
        <v>0.44546498854930949</v>
      </c>
      <c r="S24" s="11">
        <f t="shared" si="36"/>
        <v>0.28549966643074914</v>
      </c>
      <c r="T24" s="11">
        <f t="shared" si="31"/>
        <v>0.90758886987361187</v>
      </c>
      <c r="U24" s="13">
        <f t="shared" si="32"/>
        <v>9.4011832358216783</v>
      </c>
      <c r="V24" s="11">
        <f t="shared" si="33"/>
        <v>84.529200000000003</v>
      </c>
      <c r="W24" s="11">
        <f t="shared" si="3"/>
        <v>1.7693700336252447</v>
      </c>
      <c r="X24" s="11">
        <f t="shared" si="4"/>
        <v>4.7852022670332337</v>
      </c>
      <c r="Y24" s="11">
        <f t="shared" si="5"/>
        <v>11.182989935181025</v>
      </c>
      <c r="Z24" s="11">
        <f t="shared" si="6"/>
        <v>0.43472932640938694</v>
      </c>
      <c r="AA24" s="11">
        <f t="shared" si="7"/>
        <v>0.268403467788144</v>
      </c>
      <c r="AB24" s="13">
        <f t="shared" si="8"/>
        <v>-99</v>
      </c>
      <c r="AC24" s="11">
        <f t="shared" si="9"/>
        <v>2.4379480551175434</v>
      </c>
      <c r="AD24" s="13">
        <f t="shared" si="10"/>
        <v>206.07779874064187</v>
      </c>
      <c r="AE24" s="13">
        <f t="shared" si="11"/>
        <v>176.54261536799999</v>
      </c>
      <c r="AF24" s="14">
        <f t="shared" si="12"/>
        <v>907.94958737906097</v>
      </c>
      <c r="AG24" s="14">
        <f t="shared" si="13"/>
        <v>560.57137861425031</v>
      </c>
      <c r="AH24" s="13">
        <f t="shared" si="14"/>
        <v>430.40172578178016</v>
      </c>
    </row>
    <row r="25" spans="2:35" x14ac:dyDescent="0.2">
      <c r="B25" s="46">
        <v>9.1211799061298375</v>
      </c>
      <c r="C25" s="25">
        <v>0.19</v>
      </c>
      <c r="D25" s="25">
        <v>0.23</v>
      </c>
      <c r="E25" s="15"/>
      <c r="F25" s="15" t="s">
        <v>75</v>
      </c>
      <c r="G25" s="27">
        <v>1</v>
      </c>
      <c r="H25" s="40">
        <f t="shared" si="0"/>
        <v>0.1</v>
      </c>
      <c r="I25" s="40">
        <f t="shared" si="1"/>
        <v>0.14000000000000001</v>
      </c>
      <c r="J25" s="11">
        <f t="shared" si="15"/>
        <v>-99</v>
      </c>
      <c r="K25" s="11">
        <f t="shared" si="16"/>
        <v>-99</v>
      </c>
      <c r="L25" s="11">
        <f t="shared" si="26"/>
        <v>-99</v>
      </c>
      <c r="M25" s="14">
        <f t="shared" si="34"/>
        <v>397.56162614250184</v>
      </c>
      <c r="N25" s="11">
        <f t="shared" si="27"/>
        <v>0.19035384821095208</v>
      </c>
      <c r="O25">
        <f t="shared" si="28"/>
        <v>130</v>
      </c>
      <c r="P25" s="9">
        <f t="shared" si="29"/>
        <v>1062.5957227785325</v>
      </c>
      <c r="Q25" s="13">
        <f t="shared" si="30"/>
        <v>665.03409663603065</v>
      </c>
      <c r="R25" s="11">
        <f t="shared" si="35"/>
        <v>0.50877441790845879</v>
      </c>
      <c r="S25" s="11">
        <f t="shared" si="36"/>
        <v>0.31842056969750671</v>
      </c>
      <c r="T25" s="11">
        <f t="shared" si="31"/>
        <v>-99</v>
      </c>
      <c r="U25" s="13">
        <f t="shared" si="32"/>
        <v>-99</v>
      </c>
      <c r="V25" s="11">
        <f t="shared" si="33"/>
        <v>-99</v>
      </c>
      <c r="W25" s="11">
        <f t="shared" si="3"/>
        <v>-99</v>
      </c>
      <c r="X25" s="11">
        <f t="shared" si="4"/>
        <v>-99</v>
      </c>
      <c r="Y25" s="11">
        <f t="shared" si="5"/>
        <v>-99</v>
      </c>
      <c r="Z25" s="11">
        <f t="shared" si="6"/>
        <v>-99</v>
      </c>
      <c r="AA25" s="11">
        <f t="shared" si="7"/>
        <v>-99</v>
      </c>
      <c r="AB25" s="13">
        <f t="shared" si="8"/>
        <v>-99</v>
      </c>
      <c r="AC25" s="11">
        <f t="shared" si="9"/>
        <v>-99</v>
      </c>
      <c r="AD25" s="13">
        <f t="shared" si="10"/>
        <v>-99</v>
      </c>
      <c r="AE25" s="13">
        <f t="shared" si="11"/>
        <v>-99</v>
      </c>
      <c r="AF25" s="14">
        <f t="shared" si="12"/>
        <v>-99</v>
      </c>
      <c r="AG25" s="14">
        <f t="shared" si="13"/>
        <v>-99</v>
      </c>
      <c r="AH25" s="13">
        <f t="shared" si="14"/>
        <v>-99</v>
      </c>
    </row>
    <row r="26" spans="2:35" x14ac:dyDescent="0.2">
      <c r="B26" s="46">
        <v>10.138289718389512</v>
      </c>
      <c r="C26" s="25">
        <v>3.53</v>
      </c>
      <c r="D26" s="25">
        <v>8.6</v>
      </c>
      <c r="E26" s="15"/>
      <c r="F26" s="15"/>
      <c r="G26" s="27">
        <v>1</v>
      </c>
      <c r="H26" s="40">
        <f t="shared" si="0"/>
        <v>0.1</v>
      </c>
      <c r="I26" s="40">
        <f t="shared" si="1"/>
        <v>0.14000000000000001</v>
      </c>
      <c r="J26" s="11">
        <f t="shared" si="15"/>
        <v>3.3885000000000001</v>
      </c>
      <c r="K26" s="11">
        <f t="shared" si="16"/>
        <v>8.4599999999999991</v>
      </c>
      <c r="L26" s="11" t="str">
        <f t="shared" si="26"/>
        <v/>
      </c>
      <c r="M26" s="14">
        <f t="shared" si="34"/>
        <v>461.02927842750552</v>
      </c>
      <c r="N26" s="11">
        <f t="shared" si="27"/>
        <v>0.22074237430334373</v>
      </c>
      <c r="O26">
        <f t="shared" si="28"/>
        <v>114.33232470559518</v>
      </c>
      <c r="P26" s="9">
        <f t="shared" si="29"/>
        <v>1178.8842520950525</v>
      </c>
      <c r="Q26" s="13">
        <f t="shared" si="30"/>
        <v>717.85497366754703</v>
      </c>
      <c r="R26" s="11">
        <f t="shared" si="35"/>
        <v>0.56445375817319876</v>
      </c>
      <c r="S26" s="11">
        <f t="shared" si="36"/>
        <v>0.34371138386985506</v>
      </c>
      <c r="T26" s="11">
        <f t="shared" si="31"/>
        <v>1.6009747585674803</v>
      </c>
      <c r="U26" s="13">
        <f t="shared" si="32"/>
        <v>9.2163302536878291</v>
      </c>
      <c r="V26" s="11">
        <f t="shared" si="33"/>
        <v>175.98104999999995</v>
      </c>
      <c r="W26" s="11">
        <f t="shared" si="3"/>
        <v>-99</v>
      </c>
      <c r="X26" s="11">
        <f t="shared" si="4"/>
        <v>-99</v>
      </c>
      <c r="Y26" s="11">
        <f t="shared" si="5"/>
        <v>-99</v>
      </c>
      <c r="Z26" s="11">
        <f t="shared" si="6"/>
        <v>-99</v>
      </c>
      <c r="AA26" s="11">
        <f t="shared" si="7"/>
        <v>-99</v>
      </c>
      <c r="AB26" s="13">
        <f t="shared" si="8"/>
        <v>-99</v>
      </c>
      <c r="AC26" s="11">
        <f t="shared" si="9"/>
        <v>2.421678425452789</v>
      </c>
      <c r="AD26" s="13">
        <f t="shared" si="10"/>
        <v>426.16951207352844</v>
      </c>
      <c r="AE26" s="13">
        <f t="shared" si="11"/>
        <v>367.54346216699986</v>
      </c>
      <c r="AF26" s="14">
        <f t="shared" si="12"/>
        <v>-99</v>
      </c>
      <c r="AG26" s="14">
        <f t="shared" si="13"/>
        <v>-99</v>
      </c>
      <c r="AH26" s="13">
        <f t="shared" si="14"/>
        <v>890.07207274604707</v>
      </c>
    </row>
    <row r="27" spans="2:35" x14ac:dyDescent="0.2">
      <c r="B27" s="46">
        <v>11.155400312900543</v>
      </c>
      <c r="C27" s="25">
        <v>2.52</v>
      </c>
      <c r="D27" s="25">
        <v>10.41</v>
      </c>
      <c r="E27" s="15"/>
      <c r="F27" s="15"/>
      <c r="G27" s="27">
        <v>1</v>
      </c>
      <c r="H27" s="40">
        <f t="shared" si="0"/>
        <v>0.1</v>
      </c>
      <c r="I27" s="40">
        <f t="shared" si="1"/>
        <v>0.14000000000000001</v>
      </c>
      <c r="J27" s="11">
        <f t="shared" si="15"/>
        <v>2.2375000000000003</v>
      </c>
      <c r="K27" s="11">
        <f t="shared" si="16"/>
        <v>10.27</v>
      </c>
      <c r="L27" s="11" t="str">
        <f t="shared" si="26"/>
        <v/>
      </c>
      <c r="M27" s="14">
        <f t="shared" si="34"/>
        <v>524.49697952499389</v>
      </c>
      <c r="N27" s="11">
        <f t="shared" si="27"/>
        <v>0.25113092376731777</v>
      </c>
      <c r="O27">
        <f t="shared" si="28"/>
        <v>114.29313603595872</v>
      </c>
      <c r="P27" s="9">
        <f t="shared" si="29"/>
        <v>1295.1330116371166</v>
      </c>
      <c r="Q27" s="13">
        <f t="shared" si="30"/>
        <v>770.63603211212273</v>
      </c>
      <c r="R27" s="11">
        <f t="shared" si="35"/>
        <v>0.62011405653572194</v>
      </c>
      <c r="S27" s="11">
        <f t="shared" si="36"/>
        <v>0.36898313276840411</v>
      </c>
      <c r="T27" s="11">
        <f t="shared" si="31"/>
        <v>4.0438104358905527</v>
      </c>
      <c r="U27" s="13">
        <f t="shared" si="32"/>
        <v>5.3833601046458854</v>
      </c>
      <c r="V27" s="11">
        <f t="shared" si="33"/>
        <v>278.72774999999996</v>
      </c>
      <c r="W27" s="11">
        <f t="shared" si="3"/>
        <v>-99</v>
      </c>
      <c r="X27" s="11">
        <f t="shared" si="4"/>
        <v>-99</v>
      </c>
      <c r="Y27" s="11">
        <f t="shared" si="5"/>
        <v>-99</v>
      </c>
      <c r="Z27" s="11">
        <f t="shared" si="6"/>
        <v>-99</v>
      </c>
      <c r="AA27" s="11">
        <f t="shared" si="7"/>
        <v>-99</v>
      </c>
      <c r="AB27" s="13">
        <f t="shared" si="8"/>
        <v>37.551057950683401</v>
      </c>
      <c r="AC27" s="11">
        <f t="shared" si="9"/>
        <v>1.9621068633764314</v>
      </c>
      <c r="AD27" s="13">
        <f t="shared" si="10"/>
        <v>546.89363128847003</v>
      </c>
      <c r="AE27" s="13">
        <f t="shared" si="11"/>
        <v>582.13405498499992</v>
      </c>
      <c r="AF27" s="14">
        <f t="shared" si="12"/>
        <v>-99</v>
      </c>
      <c r="AG27" s="14">
        <f t="shared" si="13"/>
        <v>-99</v>
      </c>
      <c r="AH27" s="13">
        <f t="shared" si="14"/>
        <v>1142.2092246912212</v>
      </c>
    </row>
    <row r="28" spans="2:35" x14ac:dyDescent="0.2">
      <c r="B28" s="46">
        <v>12.172510125160217</v>
      </c>
      <c r="C28" s="25">
        <v>4.78</v>
      </c>
      <c r="D28" s="25">
        <v>16.54</v>
      </c>
      <c r="E28" s="15"/>
      <c r="F28" s="15"/>
      <c r="G28" s="27">
        <v>1</v>
      </c>
      <c r="H28" s="40">
        <f t="shared" si="0"/>
        <v>0.1</v>
      </c>
      <c r="I28" s="40">
        <f t="shared" si="1"/>
        <v>0.14000000000000001</v>
      </c>
      <c r="J28" s="11">
        <f t="shared" si="15"/>
        <v>4.3039999999999994</v>
      </c>
      <c r="K28" s="11">
        <f t="shared" si="16"/>
        <v>16.399999999999999</v>
      </c>
      <c r="L28" s="11" t="str">
        <f t="shared" si="26"/>
        <v/>
      </c>
      <c r="M28" s="14">
        <f t="shared" si="34"/>
        <v>587.96463180999751</v>
      </c>
      <c r="N28" s="11">
        <f t="shared" si="27"/>
        <v>0.28151944985970945</v>
      </c>
      <c r="O28">
        <f t="shared" si="28"/>
        <v>120.84575569004339</v>
      </c>
      <c r="P28" s="9">
        <f t="shared" si="29"/>
        <v>1418.0464155193952</v>
      </c>
      <c r="Q28" s="13">
        <f t="shared" si="30"/>
        <v>830.08178370939766</v>
      </c>
      <c r="R28" s="11">
        <f t="shared" si="35"/>
        <v>0.67896540909888969</v>
      </c>
      <c r="S28" s="11">
        <f t="shared" si="36"/>
        <v>0.3974459592391803</v>
      </c>
      <c r="T28" s="11">
        <f t="shared" si="31"/>
        <v>3.0070996861819843</v>
      </c>
      <c r="U28" s="13">
        <f t="shared" si="32"/>
        <v>10.120823867074687</v>
      </c>
      <c r="V28" s="11">
        <f t="shared" si="33"/>
        <v>419.73120000000006</v>
      </c>
      <c r="W28" s="11">
        <f t="shared" si="3"/>
        <v>-99</v>
      </c>
      <c r="X28" s="11">
        <f t="shared" si="4"/>
        <v>-99</v>
      </c>
      <c r="Y28" s="11">
        <f t="shared" si="5"/>
        <v>-99</v>
      </c>
      <c r="Z28" s="11">
        <f t="shared" si="6"/>
        <v>-99</v>
      </c>
      <c r="AA28" s="11">
        <f t="shared" si="7"/>
        <v>-99</v>
      </c>
      <c r="AB28" s="13">
        <f t="shared" si="8"/>
        <v>40.554187884566083</v>
      </c>
      <c r="AC28" s="11">
        <f t="shared" si="9"/>
        <v>2.5113705898142449</v>
      </c>
      <c r="AD28" s="13">
        <f t="shared" si="10"/>
        <v>1054.1005913074409</v>
      </c>
      <c r="AE28" s="13">
        <f t="shared" si="11"/>
        <v>876.62540044800005</v>
      </c>
      <c r="AF28" s="14">
        <f t="shared" si="12"/>
        <v>-99</v>
      </c>
      <c r="AG28" s="14">
        <f t="shared" si="13"/>
        <v>-99</v>
      </c>
      <c r="AH28" s="13">
        <f t="shared" si="14"/>
        <v>2201.5312489692424</v>
      </c>
      <c r="AI28" s="11"/>
    </row>
    <row r="29" spans="2:35" x14ac:dyDescent="0.2">
      <c r="B29" s="24"/>
      <c r="C29" s="25"/>
      <c r="D29" s="25"/>
      <c r="E29" s="15"/>
      <c r="F29" s="15"/>
      <c r="G29" s="27"/>
      <c r="H29" s="40"/>
      <c r="I29" s="40"/>
      <c r="J29" s="11"/>
      <c r="K29" s="11"/>
      <c r="L29" s="11"/>
      <c r="M29" s="14"/>
      <c r="N29" s="11"/>
      <c r="P29" s="9"/>
      <c r="Q29" s="13"/>
      <c r="R29" s="11"/>
      <c r="S29" s="11"/>
      <c r="T29" s="11"/>
      <c r="U29" s="13"/>
      <c r="V29" s="11"/>
      <c r="W29" s="11"/>
      <c r="X29" s="11"/>
      <c r="Y29" s="11"/>
      <c r="Z29" s="11"/>
      <c r="AA29" s="11"/>
      <c r="AB29" s="13"/>
      <c r="AC29" s="11"/>
      <c r="AD29" s="13"/>
      <c r="AE29" s="13"/>
      <c r="AF29" s="14"/>
      <c r="AG29" s="14"/>
      <c r="AH29" s="13"/>
      <c r="AI29" s="11"/>
    </row>
    <row r="30" spans="2:35" x14ac:dyDescent="0.2">
      <c r="B30" s="24"/>
      <c r="C30" s="25"/>
      <c r="D30" s="25"/>
      <c r="E30" s="15"/>
      <c r="F30" s="15"/>
      <c r="G30" s="27"/>
      <c r="H30" s="40"/>
      <c r="I30" s="40"/>
      <c r="J30" s="11"/>
      <c r="K30" s="11"/>
      <c r="L30" s="11"/>
      <c r="M30" s="14"/>
      <c r="N30" s="11"/>
      <c r="P30" s="9"/>
      <c r="Q30" s="13"/>
      <c r="R30" s="11"/>
      <c r="S30" s="11"/>
      <c r="T30" s="11"/>
      <c r="U30" s="13"/>
      <c r="V30" s="11"/>
      <c r="W30" s="11"/>
      <c r="X30" s="11"/>
      <c r="Y30" s="11"/>
      <c r="Z30" s="11"/>
      <c r="AA30" s="11"/>
      <c r="AB30" s="13"/>
      <c r="AC30" s="11"/>
      <c r="AD30" s="13"/>
      <c r="AE30" s="13"/>
      <c r="AF30" s="14"/>
      <c r="AG30" s="14"/>
      <c r="AH30" s="13"/>
    </row>
    <row r="31" spans="2:35" x14ac:dyDescent="0.2">
      <c r="B31" s="24"/>
      <c r="C31" s="25"/>
      <c r="D31" s="25"/>
      <c r="E31" s="15"/>
      <c r="F31" s="15"/>
      <c r="G31" s="27"/>
      <c r="H31" s="40"/>
      <c r="I31" s="40"/>
      <c r="J31" s="11"/>
      <c r="K31" s="11"/>
      <c r="L31" s="11"/>
      <c r="M31" s="14"/>
      <c r="N31" s="11"/>
      <c r="P31" s="9"/>
      <c r="Q31" s="13"/>
      <c r="R31" s="11"/>
      <c r="S31" s="11"/>
      <c r="T31" s="11"/>
      <c r="U31" s="13"/>
      <c r="V31" s="11"/>
      <c r="W31" s="11"/>
      <c r="X31" s="11"/>
      <c r="Y31" s="11"/>
      <c r="Z31" s="11"/>
      <c r="AA31" s="11"/>
      <c r="AB31" s="13"/>
      <c r="AC31" s="11"/>
      <c r="AD31" s="13"/>
      <c r="AE31" s="13"/>
      <c r="AF31" s="14"/>
      <c r="AG31" s="14"/>
      <c r="AH31" s="13"/>
    </row>
    <row r="32" spans="2:35" x14ac:dyDescent="0.2">
      <c r="B32" s="24"/>
      <c r="C32" s="25"/>
      <c r="D32" s="25"/>
      <c r="E32" s="15"/>
      <c r="F32" s="15"/>
      <c r="G32" s="27"/>
      <c r="H32" s="40"/>
      <c r="I32" s="40"/>
      <c r="J32" s="11"/>
      <c r="K32" s="11"/>
      <c r="L32" s="11"/>
      <c r="M32" s="14"/>
      <c r="N32" s="11"/>
      <c r="P32" s="9"/>
      <c r="Q32" s="13"/>
      <c r="R32" s="11"/>
      <c r="S32" s="11"/>
      <c r="T32" s="11"/>
      <c r="U32" s="13"/>
      <c r="V32" s="11"/>
      <c r="W32" s="11"/>
      <c r="X32" s="11"/>
      <c r="Y32" s="11"/>
      <c r="Z32" s="11"/>
      <c r="AA32" s="11"/>
      <c r="AB32" s="13"/>
      <c r="AC32" s="11"/>
      <c r="AD32" s="13"/>
      <c r="AE32" s="13"/>
      <c r="AF32" s="14"/>
      <c r="AG32" s="14"/>
      <c r="AH32" s="13"/>
    </row>
    <row r="33" spans="2:34" x14ac:dyDescent="0.2">
      <c r="B33" s="24"/>
      <c r="C33" s="25"/>
      <c r="D33" s="25"/>
      <c r="E33" s="15"/>
      <c r="F33" s="15"/>
      <c r="G33" s="27"/>
      <c r="H33" s="40"/>
      <c r="I33" s="40"/>
      <c r="J33" s="11"/>
      <c r="K33" s="11"/>
      <c r="L33" s="11"/>
      <c r="M33" s="14"/>
      <c r="N33" s="11"/>
      <c r="P33" s="9"/>
      <c r="Q33" s="13"/>
      <c r="R33" s="11"/>
      <c r="S33" s="11"/>
      <c r="T33" s="11"/>
      <c r="U33" s="13"/>
      <c r="V33" s="11"/>
      <c r="W33" s="11"/>
      <c r="X33" s="11"/>
      <c r="Y33" s="11"/>
      <c r="Z33" s="11"/>
      <c r="AA33" s="11"/>
      <c r="AB33" s="13"/>
      <c r="AC33" s="11"/>
      <c r="AD33" s="13"/>
      <c r="AE33" s="13"/>
      <c r="AF33" s="14"/>
      <c r="AG33" s="14"/>
      <c r="AH33" s="13"/>
    </row>
    <row r="34" spans="2:34" x14ac:dyDescent="0.2">
      <c r="B34" s="24"/>
      <c r="C34" s="25"/>
      <c r="D34" s="25"/>
      <c r="E34" s="15"/>
      <c r="F34" s="15"/>
      <c r="G34" s="27"/>
      <c r="H34" s="40"/>
      <c r="I34" s="40"/>
      <c r="J34" s="11"/>
      <c r="K34" s="11"/>
      <c r="L34" s="11"/>
      <c r="M34" s="14"/>
      <c r="N34" s="11"/>
      <c r="P34" s="9"/>
      <c r="Q34" s="13"/>
      <c r="R34" s="11"/>
      <c r="S34" s="11"/>
      <c r="T34" s="11"/>
      <c r="U34" s="13"/>
      <c r="V34" s="11"/>
      <c r="W34" s="11"/>
      <c r="X34" s="11"/>
      <c r="Y34" s="11"/>
      <c r="Z34" s="11"/>
      <c r="AA34" s="11"/>
      <c r="AB34" s="13"/>
      <c r="AC34" s="11"/>
      <c r="AD34" s="13"/>
      <c r="AE34" s="13"/>
      <c r="AF34" s="14"/>
      <c r="AG34" s="14"/>
      <c r="AH34" s="13"/>
    </row>
    <row r="35" spans="2:34" x14ac:dyDescent="0.2">
      <c r="B35" s="24"/>
      <c r="C35" s="25"/>
      <c r="D35" s="25"/>
      <c r="E35" s="15"/>
      <c r="F35" s="15"/>
      <c r="G35" s="27"/>
      <c r="H35" s="40"/>
      <c r="I35" s="40"/>
      <c r="J35" s="11"/>
      <c r="K35" s="11"/>
      <c r="L35" s="11"/>
      <c r="M35" s="14"/>
      <c r="N35" s="11"/>
      <c r="P35" s="9"/>
      <c r="Q35" s="13"/>
      <c r="R35" s="11"/>
      <c r="S35" s="11"/>
      <c r="T35" s="11"/>
      <c r="U35" s="13"/>
      <c r="V35" s="11"/>
      <c r="W35" s="11"/>
      <c r="X35" s="11"/>
      <c r="Y35" s="11"/>
      <c r="Z35" s="11"/>
      <c r="AA35" s="11"/>
      <c r="AB35" s="13"/>
      <c r="AC35" s="11"/>
      <c r="AD35" s="13"/>
      <c r="AE35" s="13"/>
      <c r="AF35" s="14"/>
      <c r="AG35" s="14"/>
      <c r="AH35" s="13"/>
    </row>
    <row r="36" spans="2:34" x14ac:dyDescent="0.2">
      <c r="B36" s="24"/>
      <c r="C36" s="25"/>
      <c r="D36" s="25"/>
      <c r="E36" s="15"/>
      <c r="F36" s="15"/>
      <c r="G36" s="27"/>
      <c r="H36" s="40"/>
      <c r="I36" s="40"/>
      <c r="J36" s="11"/>
      <c r="K36" s="11"/>
      <c r="L36" s="11"/>
      <c r="M36" s="14"/>
      <c r="N36" s="11"/>
      <c r="P36" s="9"/>
      <c r="Q36" s="13"/>
      <c r="R36" s="11"/>
      <c r="S36" s="11"/>
      <c r="T36" s="11"/>
      <c r="U36" s="13"/>
      <c r="V36" s="11"/>
      <c r="W36" s="11"/>
      <c r="X36" s="11"/>
      <c r="Y36" s="11"/>
      <c r="Z36" s="11"/>
      <c r="AA36" s="11"/>
      <c r="AB36" s="13"/>
      <c r="AC36" s="11"/>
      <c r="AD36" s="13"/>
      <c r="AE36" s="13"/>
      <c r="AF36" s="14"/>
      <c r="AG36" s="14"/>
      <c r="AH36" s="13"/>
    </row>
    <row r="37" spans="2:34" x14ac:dyDescent="0.2">
      <c r="B37" s="24"/>
      <c r="C37" s="25"/>
      <c r="D37" s="25"/>
      <c r="E37" s="15"/>
      <c r="F37" s="15"/>
      <c r="G37" s="27"/>
      <c r="H37" s="40"/>
      <c r="I37" s="40"/>
      <c r="J37" s="11"/>
      <c r="K37" s="11"/>
      <c r="L37" s="11"/>
      <c r="M37" s="14"/>
      <c r="N37" s="11"/>
      <c r="P37" s="9"/>
      <c r="Q37" s="13"/>
      <c r="R37" s="11"/>
      <c r="S37" s="11"/>
      <c r="T37" s="11"/>
      <c r="U37" s="13"/>
      <c r="V37" s="11"/>
      <c r="W37" s="11"/>
      <c r="X37" s="11"/>
      <c r="Y37" s="11"/>
      <c r="Z37" s="11"/>
      <c r="AA37" s="11"/>
      <c r="AB37" s="13"/>
      <c r="AC37" s="11"/>
      <c r="AD37" s="13"/>
      <c r="AE37" s="13"/>
      <c r="AF37" s="14"/>
      <c r="AG37" s="14"/>
      <c r="AH37" s="13"/>
    </row>
    <row r="38" spans="2:34" x14ac:dyDescent="0.2">
      <c r="B38" s="24"/>
      <c r="C38" s="25"/>
      <c r="D38" s="25"/>
      <c r="E38" s="15"/>
      <c r="F38" s="15"/>
      <c r="G38" s="27"/>
      <c r="H38" s="40"/>
      <c r="I38" s="40"/>
      <c r="J38" s="11"/>
      <c r="K38" s="11"/>
      <c r="L38" s="11"/>
      <c r="M38" s="14"/>
      <c r="N38" s="11"/>
      <c r="P38" s="9"/>
      <c r="Q38" s="13"/>
      <c r="R38" s="11"/>
      <c r="S38" s="11"/>
      <c r="T38" s="11"/>
      <c r="U38" s="13"/>
      <c r="V38" s="11"/>
      <c r="W38" s="11"/>
      <c r="X38" s="11"/>
      <c r="Y38" s="11"/>
      <c r="Z38" s="11"/>
      <c r="AA38" s="11"/>
      <c r="AB38" s="13"/>
      <c r="AC38" s="11"/>
      <c r="AD38" s="13"/>
      <c r="AE38" s="13"/>
      <c r="AF38" s="14"/>
      <c r="AG38" s="14"/>
      <c r="AH38" s="13"/>
    </row>
    <row r="39" spans="2:34" x14ac:dyDescent="0.2">
      <c r="B39" s="24"/>
      <c r="C39" s="25"/>
      <c r="D39" s="25"/>
      <c r="E39" s="15"/>
      <c r="F39" s="15"/>
      <c r="G39" s="27"/>
      <c r="H39" s="40"/>
      <c r="I39" s="40"/>
      <c r="J39" s="11"/>
      <c r="K39" s="11"/>
      <c r="L39" s="11"/>
      <c r="M39" s="14"/>
      <c r="N39" s="11"/>
      <c r="P39" s="9"/>
      <c r="Q39" s="13"/>
      <c r="R39" s="11"/>
      <c r="S39" s="11"/>
      <c r="T39" s="11"/>
      <c r="U39" s="13"/>
      <c r="V39" s="11"/>
      <c r="W39" s="11"/>
      <c r="X39" s="11"/>
      <c r="Y39" s="11"/>
      <c r="Z39" s="11"/>
      <c r="AA39" s="11"/>
      <c r="AB39" s="13"/>
      <c r="AC39" s="11"/>
      <c r="AD39" s="13"/>
      <c r="AE39" s="13"/>
      <c r="AF39" s="14"/>
      <c r="AG39" s="14"/>
      <c r="AH39" s="13"/>
    </row>
    <row r="40" spans="2:34" x14ac:dyDescent="0.2">
      <c r="B40" s="24"/>
      <c r="C40" s="25"/>
      <c r="D40" s="25"/>
      <c r="E40" s="15"/>
      <c r="F40" s="15"/>
      <c r="G40" s="27"/>
      <c r="H40" s="40"/>
      <c r="I40" s="40"/>
      <c r="J40" s="11"/>
      <c r="K40" s="11"/>
      <c r="L40" s="11"/>
      <c r="M40" s="14"/>
      <c r="N40" s="11"/>
      <c r="P40" s="9"/>
      <c r="Q40" s="13"/>
      <c r="R40" s="11"/>
      <c r="S40" s="11"/>
      <c r="T40" s="11"/>
      <c r="U40" s="13"/>
      <c r="V40" s="11"/>
      <c r="W40" s="11"/>
      <c r="X40" s="11"/>
      <c r="Y40" s="11"/>
      <c r="Z40" s="11"/>
      <c r="AA40" s="11"/>
      <c r="AB40" s="13"/>
      <c r="AC40" s="11"/>
      <c r="AD40" s="13"/>
      <c r="AE40" s="13"/>
      <c r="AF40" s="14"/>
      <c r="AG40" s="14"/>
      <c r="AH40" s="13"/>
    </row>
    <row r="41" spans="2:34" x14ac:dyDescent="0.2">
      <c r="B41" s="24"/>
      <c r="C41" s="25"/>
      <c r="D41" s="25"/>
      <c r="E41" s="15"/>
      <c r="F41" s="15"/>
      <c r="G41" s="27"/>
      <c r="H41" s="40"/>
      <c r="I41" s="40"/>
      <c r="J41" s="11"/>
      <c r="K41" s="11"/>
      <c r="L41" s="11"/>
      <c r="M41" s="14"/>
      <c r="N41" s="11"/>
      <c r="P41" s="9"/>
      <c r="Q41" s="13"/>
      <c r="R41" s="11"/>
      <c r="S41" s="11"/>
      <c r="T41" s="11"/>
      <c r="U41" s="13"/>
      <c r="V41" s="11"/>
      <c r="W41" s="11"/>
      <c r="X41" s="11"/>
      <c r="Y41" s="11"/>
      <c r="Z41" s="11"/>
      <c r="AA41" s="11"/>
      <c r="AB41" s="13"/>
      <c r="AC41" s="11"/>
      <c r="AD41" s="13"/>
      <c r="AE41" s="13"/>
      <c r="AF41" s="14"/>
      <c r="AG41" s="14"/>
      <c r="AH41" s="13"/>
    </row>
    <row r="42" spans="2:34" x14ac:dyDescent="0.2">
      <c r="B42" s="24"/>
      <c r="C42" s="25"/>
      <c r="D42" s="25"/>
      <c r="E42" s="15"/>
      <c r="F42" s="15"/>
      <c r="G42" s="27"/>
      <c r="H42" s="40"/>
      <c r="I42" s="40"/>
      <c r="J42" s="11"/>
      <c r="K42" s="11"/>
      <c r="L42" s="11"/>
      <c r="M42" s="14"/>
      <c r="N42" s="11"/>
      <c r="P42" s="9"/>
      <c r="Q42" s="13"/>
      <c r="R42" s="11"/>
      <c r="S42" s="11"/>
      <c r="T42" s="11"/>
      <c r="U42" s="13"/>
      <c r="V42" s="11"/>
      <c r="W42" s="11"/>
      <c r="X42" s="11"/>
      <c r="Y42" s="11"/>
      <c r="Z42" s="11"/>
      <c r="AA42" s="11"/>
      <c r="AB42" s="13"/>
      <c r="AC42" s="11"/>
      <c r="AD42" s="13"/>
      <c r="AE42" s="13"/>
      <c r="AF42" s="14"/>
      <c r="AG42" s="14"/>
      <c r="AH42" s="13"/>
    </row>
    <row r="43" spans="2:34" x14ac:dyDescent="0.2">
      <c r="B43" s="24"/>
      <c r="C43" s="25"/>
      <c r="D43" s="25"/>
      <c r="E43" s="15"/>
      <c r="F43" s="15"/>
      <c r="G43" s="27"/>
      <c r="H43" s="40"/>
      <c r="I43" s="40"/>
      <c r="J43" s="11"/>
      <c r="K43" s="11"/>
      <c r="L43" s="11"/>
      <c r="M43" s="14"/>
      <c r="N43" s="11"/>
      <c r="P43" s="9"/>
      <c r="Q43" s="13"/>
      <c r="R43" s="11"/>
      <c r="S43" s="11"/>
      <c r="T43" s="11"/>
      <c r="U43" s="13"/>
      <c r="V43" s="11"/>
      <c r="W43" s="11"/>
      <c r="X43" s="11"/>
      <c r="Y43" s="11"/>
      <c r="Z43" s="11"/>
      <c r="AA43" s="11"/>
      <c r="AB43" s="13"/>
      <c r="AC43" s="11"/>
      <c r="AD43" s="13"/>
      <c r="AE43" s="13"/>
      <c r="AF43" s="14"/>
      <c r="AG43" s="14"/>
      <c r="AH43" s="13"/>
    </row>
    <row r="44" spans="2:34" x14ac:dyDescent="0.2">
      <c r="B44" s="24"/>
      <c r="C44" s="25"/>
      <c r="D44" s="25"/>
      <c r="E44" s="15"/>
      <c r="F44" s="15"/>
      <c r="G44" s="27"/>
      <c r="H44" s="40"/>
      <c r="I44" s="40"/>
      <c r="J44" s="11"/>
      <c r="K44" s="11"/>
      <c r="L44" s="11"/>
      <c r="M44" s="14"/>
      <c r="N44" s="11"/>
      <c r="P44" s="9"/>
      <c r="Q44" s="13"/>
      <c r="R44" s="11"/>
      <c r="S44" s="11"/>
      <c r="T44" s="11"/>
      <c r="U44" s="13"/>
      <c r="V44" s="11"/>
      <c r="W44" s="11"/>
      <c r="X44" s="11"/>
      <c r="Y44" s="11"/>
      <c r="Z44" s="11"/>
      <c r="AA44" s="11"/>
      <c r="AB44" s="13"/>
      <c r="AC44" s="11"/>
      <c r="AD44" s="13"/>
      <c r="AE44" s="13"/>
      <c r="AF44" s="14"/>
      <c r="AG44" s="14"/>
      <c r="AH44" s="13"/>
    </row>
    <row r="45" spans="2:34" x14ac:dyDescent="0.2">
      <c r="B45" s="24"/>
      <c r="C45" s="25"/>
      <c r="D45" s="25"/>
      <c r="E45" s="15"/>
      <c r="F45" s="15"/>
      <c r="G45" s="27"/>
      <c r="H45" s="40"/>
      <c r="I45" s="40"/>
      <c r="J45" s="11"/>
      <c r="K45" s="11"/>
      <c r="L45" s="11"/>
      <c r="M45" s="14"/>
      <c r="N45" s="11"/>
      <c r="P45" s="9"/>
      <c r="Q45" s="13"/>
      <c r="R45" s="11"/>
      <c r="S45" s="11"/>
      <c r="T45" s="11"/>
      <c r="U45" s="13"/>
      <c r="V45" s="11"/>
      <c r="W45" s="11"/>
      <c r="X45" s="11"/>
      <c r="Y45" s="11"/>
      <c r="Z45" s="11"/>
      <c r="AA45" s="11"/>
      <c r="AB45" s="13"/>
      <c r="AC45" s="11"/>
      <c r="AD45" s="13"/>
      <c r="AE45" s="13"/>
      <c r="AF45" s="14"/>
      <c r="AG45" s="14"/>
      <c r="AH45" s="13"/>
    </row>
    <row r="46" spans="2:34" x14ac:dyDescent="0.2">
      <c r="B46" s="24"/>
      <c r="C46" s="25"/>
      <c r="D46" s="25"/>
      <c r="E46" s="15"/>
      <c r="F46" s="15"/>
      <c r="G46" s="27"/>
      <c r="H46" s="40"/>
      <c r="I46" s="40"/>
      <c r="J46" s="11"/>
      <c r="K46" s="11"/>
      <c r="L46" s="11"/>
      <c r="M46" s="14"/>
      <c r="N46" s="11"/>
      <c r="P46" s="9"/>
      <c r="Q46" s="13"/>
      <c r="R46" s="11"/>
      <c r="S46" s="11"/>
      <c r="T46" s="11"/>
      <c r="U46" s="13"/>
      <c r="V46" s="11"/>
      <c r="W46" s="11"/>
      <c r="X46" s="11"/>
      <c r="Y46" s="11"/>
      <c r="Z46" s="11"/>
      <c r="AA46" s="11"/>
      <c r="AB46" s="13"/>
      <c r="AC46" s="11"/>
      <c r="AD46" s="13"/>
      <c r="AE46" s="13"/>
      <c r="AF46" s="14"/>
      <c r="AG46" s="14"/>
      <c r="AH46" s="13"/>
    </row>
    <row r="47" spans="2:34" x14ac:dyDescent="0.2">
      <c r="B47" s="24"/>
      <c r="C47" s="25"/>
      <c r="D47" s="25"/>
      <c r="E47" s="15"/>
      <c r="F47" s="15"/>
      <c r="G47" s="27"/>
      <c r="H47" s="40"/>
      <c r="I47" s="40"/>
      <c r="J47" s="11"/>
      <c r="K47" s="11"/>
      <c r="L47" s="11"/>
      <c r="M47" s="14"/>
      <c r="N47" s="11"/>
      <c r="P47" s="9"/>
      <c r="Q47" s="13"/>
      <c r="R47" s="11"/>
      <c r="S47" s="11"/>
      <c r="T47" s="11"/>
      <c r="U47" s="13"/>
      <c r="V47" s="11"/>
      <c r="W47" s="11"/>
      <c r="X47" s="11"/>
      <c r="Y47" s="11"/>
      <c r="Z47" s="11"/>
      <c r="AA47" s="11"/>
      <c r="AB47" s="13"/>
      <c r="AC47" s="11"/>
      <c r="AD47" s="13"/>
      <c r="AE47" s="13"/>
      <c r="AF47" s="14"/>
      <c r="AG47" s="14"/>
      <c r="AH47" s="13"/>
    </row>
    <row r="48" spans="2:34" x14ac:dyDescent="0.2">
      <c r="B48" s="24"/>
      <c r="C48" s="25"/>
      <c r="D48" s="25"/>
      <c r="E48" s="15"/>
      <c r="F48" s="15"/>
      <c r="G48" s="27"/>
      <c r="H48" s="40"/>
      <c r="I48" s="40"/>
      <c r="J48" s="11"/>
      <c r="K48" s="11"/>
      <c r="L48" s="11"/>
      <c r="M48" s="14"/>
      <c r="N48" s="11"/>
      <c r="P48" s="9"/>
      <c r="Q48" s="13"/>
      <c r="R48" s="11"/>
      <c r="S48" s="11"/>
      <c r="T48" s="11"/>
      <c r="U48" s="13"/>
      <c r="V48" s="11"/>
      <c r="W48" s="11"/>
      <c r="X48" s="11"/>
      <c r="Y48" s="11"/>
      <c r="Z48" s="11"/>
      <c r="AA48" s="11"/>
      <c r="AB48" s="13"/>
      <c r="AC48" s="11"/>
      <c r="AD48" s="13"/>
      <c r="AE48" s="13"/>
      <c r="AF48" s="14"/>
      <c r="AG48" s="14"/>
      <c r="AH48" s="13"/>
    </row>
    <row r="49" spans="2:34" x14ac:dyDescent="0.2">
      <c r="B49" s="24"/>
      <c r="C49" s="25"/>
      <c r="D49" s="25"/>
      <c r="E49" s="15"/>
      <c r="F49" s="15"/>
      <c r="G49" s="27"/>
      <c r="H49" s="40"/>
      <c r="I49" s="40"/>
      <c r="J49" s="11"/>
      <c r="K49" s="11"/>
      <c r="L49" s="11"/>
      <c r="M49" s="14"/>
      <c r="N49" s="11"/>
      <c r="P49" s="9"/>
      <c r="Q49" s="13"/>
      <c r="R49" s="11"/>
      <c r="S49" s="11"/>
      <c r="T49" s="11"/>
      <c r="U49" s="13"/>
      <c r="V49" s="11"/>
      <c r="W49" s="11"/>
      <c r="X49" s="11"/>
      <c r="Y49" s="11"/>
      <c r="Z49" s="11"/>
      <c r="AA49" s="11"/>
      <c r="AB49" s="13"/>
      <c r="AC49" s="11"/>
      <c r="AD49" s="13"/>
      <c r="AE49" s="13"/>
      <c r="AF49" s="14"/>
      <c r="AG49" s="14"/>
      <c r="AH49" s="13"/>
    </row>
    <row r="50" spans="2:34" x14ac:dyDescent="0.2">
      <c r="B50" s="24"/>
      <c r="C50" s="10"/>
      <c r="D50" s="10"/>
      <c r="E50" s="15"/>
      <c r="F50" s="15"/>
      <c r="G50" s="27"/>
      <c r="H50" s="40"/>
      <c r="I50" s="40"/>
      <c r="J50" s="11"/>
      <c r="K50" s="11"/>
      <c r="L50" s="11"/>
      <c r="M50" s="14"/>
      <c r="N50" s="11"/>
      <c r="P50" s="9"/>
      <c r="Q50" s="13"/>
      <c r="R50" s="11"/>
      <c r="S50" s="11"/>
      <c r="T50" s="11"/>
      <c r="U50" s="13"/>
      <c r="V50" s="11"/>
      <c r="W50" s="11"/>
      <c r="X50" s="11"/>
      <c r="Y50" s="11"/>
      <c r="Z50" s="11"/>
      <c r="AA50" s="11"/>
      <c r="AB50" s="13"/>
      <c r="AC50" s="11"/>
      <c r="AD50" s="13"/>
      <c r="AE50" s="13"/>
      <c r="AF50" s="14"/>
      <c r="AG50" s="14"/>
      <c r="AH50" s="13"/>
    </row>
    <row r="51" spans="2:34" x14ac:dyDescent="0.2">
      <c r="B51" s="24"/>
      <c r="C51" s="10"/>
      <c r="D51" s="10"/>
      <c r="E51" s="15"/>
      <c r="F51" s="15"/>
      <c r="G51" s="27"/>
      <c r="H51" s="40"/>
      <c r="I51" s="40"/>
      <c r="J51" s="11"/>
      <c r="K51" s="11"/>
      <c r="L51" s="11"/>
      <c r="M51" s="14"/>
      <c r="N51" s="11"/>
      <c r="P51" s="9"/>
      <c r="Q51" s="13"/>
      <c r="R51" s="11"/>
      <c r="S51" s="11"/>
      <c r="T51" s="11"/>
      <c r="U51" s="13"/>
      <c r="V51" s="11"/>
      <c r="W51" s="11"/>
      <c r="X51" s="11"/>
      <c r="Y51" s="11"/>
      <c r="Z51" s="11"/>
      <c r="AA51" s="11"/>
      <c r="AB51" s="13"/>
      <c r="AC51" s="11"/>
      <c r="AD51" s="13"/>
      <c r="AE51" s="13"/>
      <c r="AF51" s="14"/>
      <c r="AG51" s="14"/>
      <c r="AH51" s="13"/>
    </row>
    <row r="52" spans="2:34" x14ac:dyDescent="0.2">
      <c r="B52" s="24"/>
      <c r="C52" s="10"/>
      <c r="D52" s="10"/>
      <c r="E52" s="15"/>
      <c r="F52" s="15"/>
      <c r="G52" s="27"/>
      <c r="H52" s="40"/>
      <c r="I52" s="40"/>
      <c r="J52" s="11"/>
      <c r="K52" s="11"/>
      <c r="L52" s="11"/>
      <c r="M52" s="14"/>
      <c r="N52" s="11"/>
      <c r="P52" s="9"/>
      <c r="Q52" s="13"/>
      <c r="R52" s="11"/>
      <c r="S52" s="11"/>
      <c r="T52" s="11"/>
      <c r="U52" s="13"/>
      <c r="V52" s="11"/>
      <c r="W52" s="11"/>
      <c r="X52" s="11"/>
      <c r="Y52" s="11"/>
      <c r="Z52" s="11"/>
      <c r="AA52" s="11"/>
      <c r="AB52" s="13"/>
      <c r="AC52" s="11"/>
      <c r="AD52" s="13"/>
      <c r="AE52" s="13"/>
      <c r="AF52" s="14"/>
      <c r="AG52" s="14"/>
      <c r="AH52" s="13"/>
    </row>
    <row r="53" spans="2:34" x14ac:dyDescent="0.2">
      <c r="B53" s="24"/>
      <c r="C53" s="10"/>
      <c r="D53" s="10"/>
      <c r="E53" s="15"/>
      <c r="F53" s="15"/>
      <c r="G53" s="27"/>
      <c r="H53" s="40"/>
      <c r="I53" s="40"/>
      <c r="J53" s="11"/>
      <c r="K53" s="11"/>
      <c r="L53" s="11"/>
      <c r="M53" s="14"/>
      <c r="N53" s="11"/>
      <c r="P53" s="9"/>
      <c r="Q53" s="13"/>
      <c r="R53" s="11"/>
      <c r="S53" s="11"/>
      <c r="T53" s="11"/>
      <c r="U53" s="13"/>
      <c r="V53" s="11"/>
      <c r="W53" s="11"/>
      <c r="X53" s="11"/>
      <c r="Y53" s="11"/>
      <c r="Z53" s="11"/>
      <c r="AA53" s="11"/>
      <c r="AB53" s="13"/>
      <c r="AC53" s="11"/>
      <c r="AD53" s="13"/>
      <c r="AE53" s="13"/>
      <c r="AF53" s="14"/>
      <c r="AG53" s="14"/>
      <c r="AH53" s="13"/>
    </row>
    <row r="54" spans="2:34" x14ac:dyDescent="0.2">
      <c r="B54" s="24"/>
      <c r="C54" s="10"/>
      <c r="D54" s="10"/>
      <c r="E54" s="15"/>
      <c r="F54" s="15"/>
      <c r="G54" s="27"/>
      <c r="H54" s="40"/>
      <c r="I54" s="40"/>
      <c r="J54" s="11"/>
      <c r="K54" s="11"/>
      <c r="L54" s="11"/>
      <c r="M54" s="14"/>
      <c r="N54" s="11"/>
      <c r="P54" s="9"/>
      <c r="Q54" s="13"/>
      <c r="R54" s="11"/>
      <c r="S54" s="11"/>
      <c r="T54" s="11"/>
      <c r="U54" s="13"/>
      <c r="V54" s="11"/>
      <c r="W54" s="11"/>
      <c r="X54" s="11"/>
      <c r="Y54" s="11"/>
      <c r="Z54" s="11"/>
      <c r="AA54" s="11"/>
      <c r="AB54" s="13"/>
      <c r="AC54" s="11"/>
      <c r="AD54" s="13"/>
      <c r="AE54" s="13"/>
      <c r="AF54" s="14"/>
      <c r="AG54" s="14"/>
      <c r="AH54" s="13"/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customXml/itemProps3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2023-03-30T18:12:49Z</cp:lastPrinted>
  <dcterms:created xsi:type="dcterms:W3CDTF">2003-07-24T16:32:36Z</dcterms:created>
  <dcterms:modified xsi:type="dcterms:W3CDTF">2023-03-30T18:16:37Z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