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46" documentId="8_{E5643C7D-51FD-42C5-84D5-E20B375CF40F}" xr6:coauthVersionLast="47" xr6:coauthVersionMax="47" xr10:uidLastSave="{33ADE910-90CB-4BE5-BFAF-5A090B758B4A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Table'!$A$1:$AD$16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/>
  <c r="O2" i="3"/>
  <c r="O6" i="3"/>
  <c r="M23" i="1"/>
  <c r="N23" i="1" s="1"/>
  <c r="M20" i="1"/>
  <c r="N20" i="1" s="1"/>
  <c r="M21" i="1"/>
  <c r="N21" i="1" s="1"/>
  <c r="M22" i="1"/>
  <c r="N22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H20" i="1" l="1"/>
  <c r="H22" i="1"/>
  <c r="L20" i="1"/>
  <c r="G13" i="3" s="1"/>
  <c r="H21" i="1"/>
  <c r="L21" i="1"/>
  <c r="G14" i="3" s="1"/>
  <c r="L22" i="1"/>
  <c r="G15" i="3" s="1"/>
  <c r="H23" i="1"/>
  <c r="L23" i="1"/>
  <c r="G16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4" i="3"/>
  <c r="D15" i="3"/>
  <c r="D16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21" i="1" l="1"/>
  <c r="I23" i="1"/>
  <c r="I20" i="1"/>
  <c r="I22" i="1"/>
  <c r="I17" i="1"/>
  <c r="I18" i="1"/>
  <c r="I19" i="1"/>
  <c r="H11" i="3"/>
  <c r="H16" i="3"/>
  <c r="I15" i="3"/>
  <c r="H14" i="3"/>
  <c r="H12" i="3"/>
  <c r="H15" i="3"/>
  <c r="I13" i="3"/>
  <c r="I14" i="3"/>
  <c r="I16" i="3"/>
  <c r="I12" i="3"/>
  <c r="I11" i="3"/>
  <c r="I10" i="3"/>
  <c r="K22" i="1" l="1"/>
  <c r="J22" i="1"/>
  <c r="K20" i="1"/>
  <c r="J20" i="1"/>
  <c r="K18" i="1"/>
  <c r="J18" i="1"/>
  <c r="K19" i="1"/>
  <c r="J19" i="1"/>
  <c r="K17" i="1"/>
  <c r="J17" i="1"/>
  <c r="E10" i="3" s="1"/>
  <c r="K23" i="1"/>
  <c r="J23" i="1"/>
  <c r="K21" i="1"/>
  <c r="F14" i="3" s="1"/>
  <c r="J21" i="1"/>
  <c r="E14" i="3" s="1"/>
  <c r="T20" i="1" l="1"/>
  <c r="AA20" i="1" s="1"/>
  <c r="AG20" i="1" s="1"/>
  <c r="T23" i="1"/>
  <c r="AA23" i="1" s="1"/>
  <c r="AG23" i="1" s="1"/>
  <c r="V23" i="1"/>
  <c r="Q16" i="3" s="1"/>
  <c r="T22" i="1"/>
  <c r="F15" i="3"/>
  <c r="T21" i="1"/>
  <c r="V21" i="1"/>
  <c r="Q14" i="3" s="1"/>
  <c r="V20" i="1"/>
  <c r="V22" i="1"/>
  <c r="Q15" i="3" s="1"/>
  <c r="E15" i="3"/>
  <c r="T18" i="1"/>
  <c r="F11" i="3"/>
  <c r="T19" i="1"/>
  <c r="F12" i="3"/>
  <c r="V19" i="1"/>
  <c r="E13" i="3"/>
  <c r="V17" i="1"/>
  <c r="Q10" i="3" s="1"/>
  <c r="F16" i="3"/>
  <c r="V18" i="1"/>
  <c r="T17" i="1"/>
  <c r="F10" i="3"/>
  <c r="E16" i="3"/>
  <c r="E12" i="3"/>
  <c r="F13" i="3"/>
  <c r="E11" i="3"/>
  <c r="O10" i="3" l="1"/>
  <c r="O13" i="3"/>
  <c r="O20" i="1"/>
  <c r="J13" i="3" s="1"/>
  <c r="AE20" i="1"/>
  <c r="AA13" i="3" s="1"/>
  <c r="AE21" i="1"/>
  <c r="AA14" i="3" s="1"/>
  <c r="O21" i="1"/>
  <c r="J14" i="3" s="1"/>
  <c r="O23" i="1"/>
  <c r="J16" i="3" s="1"/>
  <c r="AE23" i="1"/>
  <c r="AA16" i="3" s="1"/>
  <c r="AE22" i="1"/>
  <c r="AA15" i="3" s="1"/>
  <c r="O22" i="1"/>
  <c r="J15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Q12" i="3"/>
  <c r="AA17" i="1"/>
  <c r="AG17" i="1" s="1"/>
  <c r="AC10" i="3" s="1"/>
  <c r="O12" i="3"/>
  <c r="O16" i="3"/>
  <c r="Q11" i="3"/>
  <c r="O11" i="3"/>
  <c r="AC13" i="3"/>
  <c r="V13" i="3"/>
  <c r="AG22" i="1" l="1"/>
  <c r="AC15" i="3" s="1"/>
  <c r="V15" i="3"/>
  <c r="AG21" i="1"/>
  <c r="AC14" i="3" s="1"/>
  <c r="V14" i="3"/>
  <c r="P17" i="1"/>
  <c r="K10" i="3" s="1"/>
  <c r="J10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Z17" i="1" l="1"/>
  <c r="P21" i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Y23" i="1"/>
  <c r="T16" i="3" s="1"/>
  <c r="W23" i="1"/>
  <c r="R16" i="3" s="1"/>
  <c r="W14" i="3"/>
  <c r="P14" i="3"/>
  <c r="L16" i="3"/>
  <c r="AB13" i="3"/>
  <c r="U13" i="3"/>
  <c r="Y13" i="3"/>
  <c r="N15" i="3"/>
  <c r="AH19" i="1"/>
  <c r="AD12" i="3" s="1"/>
  <c r="Z12" i="3"/>
  <c r="U16" i="3"/>
  <c r="W15" i="3" l="1"/>
  <c r="P15" i="3"/>
  <c r="AD13" i="3"/>
  <c r="Z13" i="3"/>
  <c r="W16" i="3"/>
  <c r="N16" i="3"/>
  <c r="Y14" i="3"/>
  <c r="AD14" i="3" l="1"/>
  <c r="Z14" i="3"/>
  <c r="P16" i="3"/>
  <c r="Y15" i="3"/>
  <c r="AD15" i="3" l="1"/>
  <c r="Z15" i="3"/>
  <c r="Y16" i="3"/>
  <c r="AD16" i="3" l="1"/>
  <c r="Z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<sst xmlns="http://schemas.openxmlformats.org/spreadsheetml/2006/main" count="186" uniqueCount="80">
  <si>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</si>
  <si>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</si>
  <si>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</si>
  <si>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</si>
  <si>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</si>
  <si>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</si>
  <si>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</si>
  <si>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</si>
  <si>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</si>
  <si>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</si>
  <si>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</si>
  <si>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</si>
  <si>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</si>
  <si>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</si>
  <si>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</si>
  <si>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</si>
  <si>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</si>
  <si>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</si>
  <si>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</si>
  <si>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</si>
  <si>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</si>
  <si>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</si>
  <si>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</si>
  <si>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</si>
  <si>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</si>
  <si>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</si>
  <si>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</si>
  <si>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</si>
  <si>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</si>
  <si>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</si>
  <si>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</si>
  <si>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</si>
  <si>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</si>
  <si>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</si>
  <si>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</si>
  <si>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</si>
  <si>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</si>
  <si>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</si>
  <si>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</si>
  <si>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</si>
  <si>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</si>
  <si>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</si>
  <si>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</si>
  <si>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</si>
  <si>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</si>
  <si>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</si>
  <si>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</si>
  <si>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</si>
  <si>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</si>
  <si>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</si>
  <si>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</si>
  <si>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</si>
  <si>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</si>
  <si>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</si>
  <si>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</si>
  <si>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</si>
  <si>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</si>
  <si>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</si>
  <si>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</si>
  <si>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</si>
  <si>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</si>
  <si>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</si>
  <si>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</si>
  <si>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</si>
  <si>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</si>
  <si>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</si>
  <si>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</si>
  <si>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</si>
  <si>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</si>
  <si>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</si>
  <si>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</si>
  <si>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</si>
  <si>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</si>
  <si>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</si>
  <si>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</si>
  <si>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DMT-3</t>
  </si>
  <si>
    <t>Station:</t>
  </si>
  <si>
    <t>Offset (ft):</t>
  </si>
  <si>
    <t>67+54.34</t>
  </si>
  <si>
    <t>RT 30.52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</si>
</sst>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3.3605870020964361</c:v>
                </c:pt>
                <c:pt idx="1">
                  <c:v>3.9288149187888504</c:v>
                </c:pt>
                <c:pt idx="2">
                  <c:v>2.739130434782608</c:v>
                </c:pt>
                <c:pt idx="3">
                  <c:v>2.1243614046684942</c:v>
                </c:pt>
                <c:pt idx="4">
                  <c:v>1.278570704029319</c:v>
                </c:pt>
                <c:pt idx="5">
                  <c:v>2.6648785873857279</c:v>
                </c:pt>
                <c:pt idx="6">
                  <c:v>7.2721759630991043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495.45413579031418</c:v>
                </c:pt>
                <c:pt idx="1">
                  <c:v>2357.4645276649562</c:v>
                </c:pt>
                <c:pt idx="2">
                  <c:v>883.23331082574725</c:v>
                </c:pt>
                <c:pt idx="3">
                  <c:v>1180.6883513357723</c:v>
                </c:pt>
                <c:pt idx="4">
                  <c:v>676.10472138710747</c:v>
                </c:pt>
                <c:pt idx="5">
                  <c:v>2719.0384660568652</c:v>
                </c:pt>
                <c:pt idx="6">
                  <c:v>4015.757543428293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42.085207363406319</c:v>
                </c:pt>
                <c:pt idx="1">
                  <c:v>44.116780606957455</c:v>
                </c:pt>
                <c:pt idx="2">
                  <c:v>40.875519109178178</c:v>
                </c:pt>
                <c:pt idx="3">
                  <c:v>42.009119790486878</c:v>
                </c:pt>
                <c:pt idx="4">
                  <c:v>-99</c:v>
                </c:pt>
                <c:pt idx="5">
                  <c:v>43.153663235312969</c:v>
                </c:pt>
                <c:pt idx="6">
                  <c:v>40.845915085809693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3.3605870020964361</c:v>
                </c:pt>
                <c:pt idx="1">
                  <c:v>3.9288149187888504</c:v>
                </c:pt>
                <c:pt idx="2">
                  <c:v>2.739130434782608</c:v>
                </c:pt>
                <c:pt idx="3">
                  <c:v>2.1243614046684942</c:v>
                </c:pt>
                <c:pt idx="4">
                  <c:v>1.278570704029319</c:v>
                </c:pt>
                <c:pt idx="5">
                  <c:v>2.6648785873857279</c:v>
                </c:pt>
                <c:pt idx="6">
                  <c:v>7.2721759630991043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7.09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0.71549999999999991</c:v>
                </c:pt>
                <c:pt idx="1">
                  <c:v>2.4935</c:v>
                </c:pt>
                <c:pt idx="2">
                  <c:v>1.7250000000000003</c:v>
                </c:pt>
                <c:pt idx="3">
                  <c:v>2.7355</c:v>
                </c:pt>
                <c:pt idx="4">
                  <c:v>2.746</c:v>
                </c:pt>
                <c:pt idx="5">
                  <c:v>4.6415000000000006</c:v>
                </c:pt>
                <c:pt idx="6">
                  <c:v>3.0745000000000005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3.1199999999999997</c:v>
                </c:pt>
                <c:pt idx="1">
                  <c:v>12.29</c:v>
                </c:pt>
                <c:pt idx="2">
                  <c:v>6.45</c:v>
                </c:pt>
                <c:pt idx="3">
                  <c:v>8.5</c:v>
                </c:pt>
                <c:pt idx="4">
                  <c:v>6.19</c:v>
                </c:pt>
                <c:pt idx="5">
                  <c:v>16.79</c:v>
                </c:pt>
                <c:pt idx="6">
                  <c:v>24.61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14.369053825188894</c:v>
                </c:pt>
                <c:pt idx="1">
                  <c:v>23.788703364045844</c:v>
                </c:pt>
                <c:pt idx="2">
                  <c:v>10.873635631625852</c:v>
                </c:pt>
                <c:pt idx="3">
                  <c:v>14.113296407355286</c:v>
                </c:pt>
                <c:pt idx="4">
                  <c:v>12.467645109124938</c:v>
                </c:pt>
                <c:pt idx="5">
                  <c:v>18.61510333849035</c:v>
                </c:pt>
                <c:pt idx="6">
                  <c:v>10.801585436731155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83.436149999999998</c:v>
                </c:pt>
                <c:pt idx="1">
                  <c:v>339.93854999999996</c:v>
                </c:pt>
                <c:pt idx="2">
                  <c:v>163.95750000000001</c:v>
                </c:pt>
                <c:pt idx="3">
                  <c:v>200.02815000000001</c:v>
                </c:pt>
                <c:pt idx="4">
                  <c:v>119.50680000000003</c:v>
                </c:pt>
                <c:pt idx="5">
                  <c:v>421.55295000000001</c:v>
                </c:pt>
                <c:pt idx="6">
                  <c:v>747.28185000000008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DMT-3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7.09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DMT-3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7.09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F5" sqref="F5:F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s="20" t="str">
        <f>'Data Entry'!H11</f>
        <v>67+54.34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s="20" t="str">
        <f>'Data Entry'!H12</f>
        <v>RT 30.52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33.320712</v>
      </c>
      <c r="N4">
        <f>'Data Entry'!E11</f>
        <v>0</v>
      </c>
      <c r="O4" s="57">
        <f>IF('Data Entry'!D11="","",'Data Entry'!D11)</f>
        <v>33.320712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DMT-3</v>
      </c>
      <c r="F5" s="8" t="s">
        <v>49</v>
      </c>
      <c r="G5">
        <f>'Data Entry'!R8</f>
        <v>0.11</v>
      </c>
      <c r="L5" s="7" t="str">
        <f>'Data Entry'!C12</f>
        <v>Longitude:</v>
      </c>
      <c r="M5">
        <f>'Data Entry'!D12</f>
        <v>-80.545946999999998</v>
      </c>
      <c r="N5">
        <f>'Data Entry'!E12</f>
        <v>0</v>
      </c>
      <c r="O5" s="57">
        <f>IF('Data Entry'!D12="","",'Data Entry'!D12)</f>
        <v>-80.545946999999998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3.3</v>
      </c>
      <c r="F6" s="8" t="s">
        <v>51</v>
      </c>
      <c r="G6">
        <f>'Data Entry'!R9</f>
        <v>0.14000000000000001</v>
      </c>
      <c r="L6" s="53" t="s">
        <v>74</v>
      </c>
      <c r="O6" s="20">
        <f>'Data Entry'!D13</f>
        <v>110.8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0.72</v>
      </c>
      <c r="C10" s="9">
        <f>'Data Entry'!D17</f>
        <v>3.26</v>
      </c>
      <c r="D10" s="9" t="str">
        <f>IF('Data Entry'!E17="","",'Data Entry'!E17)</f>
        <v/>
      </c>
      <c r="E10" s="13">
        <f>IF('Data Entry'!J17=-99,"",'Data Entry'!J17)</f>
        <v>0.71549999999999991</v>
      </c>
      <c r="F10" s="9">
        <f>IF('Data Entry'!K17=-99,"",'Data Entry'!K17)</f>
        <v>3.1199999999999997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102.24835655055251</v>
      </c>
      <c r="K10" s="14">
        <f>'Data Entry'!P17</f>
        <v>103.99782673097164</v>
      </c>
      <c r="L10" s="14">
        <f>'Data Entry'!Q17</f>
        <v>103.99782673097164</v>
      </c>
      <c r="M10">
        <f>'Data Entry'!R17</f>
        <v>4.9794510390498453E-2</v>
      </c>
      <c r="N10">
        <f>'Data Entry'!S17</f>
        <v>4.9794510390498453E-2</v>
      </c>
      <c r="O10" s="11">
        <f>IF('Data Entry'!T17=-99,"",'Data Entry'!T17)</f>
        <v>3.3605870020964361</v>
      </c>
      <c r="P10" s="13">
        <f>IF('Data Entry'!U17=-99,"",'Data Entry'!U17)</f>
        <v>14.369053825188894</v>
      </c>
      <c r="Q10" s="14">
        <f>IF('Data Entry'!V17=-99,"",'Data Entry'!V17)</f>
        <v>83.436149999999998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42.085207363406319</v>
      </c>
      <c r="X10" s="13" t="e">
        <f>IF('Data Entry'!#REF!=-99,"",'Data Entry'!#REF!)</f>
        <v>#REF!</v>
      </c>
      <c r="Y10" s="11">
        <f>IF('Data Entry'!AC17=-99,"",'Data Entry'!AC17)</f>
        <v>2.8431934141135837</v>
      </c>
      <c r="Z10" s="14">
        <f>'Data Entry'!AD17</f>
        <v>237.22511217899307</v>
      </c>
      <c r="AA10" s="14">
        <f>IF('Data Entry'!AE17=-99,"",'Data Entry'!AE17)</f>
        <v>174.259736721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495.45413579031418</v>
      </c>
    </row>
    <row r="11" spans="1:30" x14ac:dyDescent="0.2">
      <c r="A11" s="13">
        <f>'Data Entry'!B18</f>
        <v>2.0014100469350815</v>
      </c>
      <c r="B11" s="9">
        <f>'Data Entry'!C18</f>
        <v>2.85</v>
      </c>
      <c r="C11" s="9">
        <f>'Data Entry'!D18</f>
        <v>12.43</v>
      </c>
      <c r="D11" s="9" t="str">
        <f>IF('Data Entry'!E18="","",'Data Entry'!E18)</f>
        <v/>
      </c>
      <c r="E11" s="13">
        <f>IF('Data Entry'!J18=-99,"",'Data Entry'!J18)</f>
        <v>2.4935</v>
      </c>
      <c r="F11" s="9">
        <f>IF('Data Entry'!K18=-99,"",'Data Entry'!K18)</f>
        <v>12.29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116.75315656030872</v>
      </c>
      <c r="K11" s="14">
        <f>'Data Entry'!P18</f>
        <v>218.91796329979928</v>
      </c>
      <c r="L11" s="14">
        <f>'Data Entry'!Q18</f>
        <v>218.91796329979928</v>
      </c>
      <c r="M11">
        <f>'Data Entry'!R18</f>
        <v>0.10481865958985669</v>
      </c>
      <c r="N11">
        <f>'Data Entry'!S18</f>
        <v>0.10481865958985669</v>
      </c>
      <c r="O11" s="11">
        <f>IF('Data Entry'!T18=-99,"",'Data Entry'!T18)</f>
        <v>3.9288149187888504</v>
      </c>
      <c r="P11" s="13">
        <f>IF('Data Entry'!U18=-99,"",'Data Entry'!U18)</f>
        <v>23.788703364045844</v>
      </c>
      <c r="Q11" s="14">
        <f>IF('Data Entry'!V18=-99,"",'Data Entry'!V18)</f>
        <v>339.93854999999996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44.116780606957455</v>
      </c>
      <c r="X11" s="13" t="e">
        <f>IF('Data Entry'!#REF!=-99,"",'Data Entry'!#REF!)</f>
        <v>#REF!</v>
      </c>
      <c r="Y11" s="11">
        <f>IF('Data Entry'!AC18=-99,"",'Data Entry'!AC18)</f>
        <v>3.320488280485856</v>
      </c>
      <c r="Z11" s="14">
        <f>'Data Entry'!AD18</f>
        <v>1128.7619713603551</v>
      </c>
      <c r="AA11" s="14">
        <f>IF('Data Entry'!AE18=-99,"",'Data Entry'!AE18)</f>
        <v>709.97525921699992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2357.4645276649562</v>
      </c>
    </row>
    <row r="12" spans="1:30" x14ac:dyDescent="0.2">
      <c r="A12" s="13">
        <f>'Data Entry'!B19</f>
        <v>3.018520054757595</v>
      </c>
      <c r="B12" s="9">
        <f>'Data Entry'!C19</f>
        <v>1.84</v>
      </c>
      <c r="C12" s="9">
        <f>'Data Entry'!D19</f>
        <v>6.59</v>
      </c>
      <c r="D12" s="9" t="str">
        <f>IF('Data Entry'!E19="","",'Data Entry'!E19)</f>
        <v/>
      </c>
      <c r="E12" s="13">
        <f>IF('Data Entry'!J19=-99,"",'Data Entry'!J19)</f>
        <v>1.7250000000000003</v>
      </c>
      <c r="F12" s="9">
        <f>IF('Data Entry'!K19=-99,"",'Data Entry'!K19)</f>
        <v>6.45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110.51829108304044</v>
      </c>
      <c r="K12" s="14">
        <f>'Data Entry'!P19</f>
        <v>331.32722320780135</v>
      </c>
      <c r="L12" s="14">
        <f>'Data Entry'!Q19</f>
        <v>331.32722320780135</v>
      </c>
      <c r="M12">
        <f>'Data Entry'!R19</f>
        <v>0.15864059257079172</v>
      </c>
      <c r="N12">
        <f>'Data Entry'!S19</f>
        <v>0.15864059257079172</v>
      </c>
      <c r="O12" s="11">
        <f>IF('Data Entry'!T19=-99,"",'Data Entry'!T19)</f>
        <v>2.739130434782608</v>
      </c>
      <c r="P12" s="13">
        <f>IF('Data Entry'!U19=-99,"",'Data Entry'!U19)</f>
        <v>10.873635631625852</v>
      </c>
      <c r="Q12" s="14">
        <f>IF('Data Entry'!V19=-99,"",'Data Entry'!V19)</f>
        <v>163.95750000000001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>
        <f>IF('Data Entry'!AB19=-99,"",'Data Entry'!AB19)</f>
        <v>40.875519109178178</v>
      </c>
      <c r="X12" s="13" t="e">
        <f>IF('Data Entry'!#REF!=-99,"",'Data Entry'!#REF!)</f>
        <v>#REF!</v>
      </c>
      <c r="Y12" s="11">
        <f>IF('Data Entry'!AC19=-99,"",'Data Entry'!AC19)</f>
        <v>2.5792970116521694</v>
      </c>
      <c r="Z12" s="14">
        <f>'Data Entry'!AD19</f>
        <v>422.89508978796061</v>
      </c>
      <c r="AA12" s="14">
        <f>IF('Data Entry'!AE19=-99,"",'Data Entry'!AE19)</f>
        <v>342.43179705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883.23331082574725</v>
      </c>
    </row>
    <row r="13" spans="1:30" x14ac:dyDescent="0.2">
      <c r="A13" s="13">
        <f>'Data Entry'!B20</f>
        <v>4.0356300625801085</v>
      </c>
      <c r="B13" s="9">
        <f>'Data Entry'!C20</f>
        <v>2.9</v>
      </c>
      <c r="C13" s="9">
        <f>'Data Entry'!D20</f>
        <v>8.64</v>
      </c>
      <c r="D13" s="9" t="str">
        <f>IF('Data Entry'!E20="","",'Data Entry'!E20)</f>
        <v/>
      </c>
      <c r="E13" s="13">
        <f>IF('Data Entry'!J20=-99,"",'Data Entry'!J20)</f>
        <v>2.7355</v>
      </c>
      <c r="F13" s="9">
        <f>IF('Data Entry'!K20=-99,"",'Data Entry'!K20)</f>
        <v>8.5</v>
      </c>
      <c r="G13" s="11" t="str">
        <f>IF('Data Entry'!L20=-99,"",'Data Entry'!L20)</f>
        <v/>
      </c>
      <c r="H13" s="14">
        <f>'Data Entry'!M20</f>
        <v>45.903315904998777</v>
      </c>
      <c r="I13" s="14">
        <f>'Data Entry'!N20</f>
        <v>2.1978662560927145E-2</v>
      </c>
      <c r="J13" s="14">
        <f>'Data Entry'!O20</f>
        <v>114.17982144498335</v>
      </c>
      <c r="K13" s="14">
        <f>'Data Entry'!P20</f>
        <v>447.46066229088154</v>
      </c>
      <c r="L13" s="14">
        <f>'Data Entry'!Q20</f>
        <v>401.55734638588274</v>
      </c>
      <c r="M13">
        <f>'Data Entry'!R20</f>
        <v>0.21424567510839226</v>
      </c>
      <c r="N13">
        <f>'Data Entry'!S20</f>
        <v>0.19226701254746509</v>
      </c>
      <c r="O13" s="11">
        <f>IF('Data Entry'!T20=-99,"",'Data Entry'!T20)</f>
        <v>2.1243614046684942</v>
      </c>
      <c r="P13" s="13">
        <f>IF('Data Entry'!U20=-99,"",'Data Entry'!U20)</f>
        <v>14.113296407355286</v>
      </c>
      <c r="Q13" s="14">
        <f>IF('Data Entry'!V20=-99,"",'Data Entry'!V20)</f>
        <v>200.02815000000001</v>
      </c>
      <c r="R13" s="13" t="str">
        <f>IF('Data Entry'!W20=-99,"",'Data Entry'!W20)</f>
        <v/>
      </c>
      <c r="S13" s="13" t="str">
        <f>IF('Data Entry'!X20=-99,"",'Data Entry'!X20)</f>
        <v/>
      </c>
      <c r="T13" s="13" t="str">
        <f>IF('Data Entry'!Y20=-99,"",'Data Entry'!Y20)</f>
        <v/>
      </c>
      <c r="U13" s="13">
        <f>IF('Data Entry'!Z20=-1,"",'Data Entry'!Z20)</f>
        <v>-99</v>
      </c>
      <c r="V13" s="13">
        <f>IF('Data Entry'!AA20=-1,"",'Data Entry'!AA20)</f>
        <v>-99</v>
      </c>
      <c r="W13" s="13">
        <f>IF('Data Entry'!AB20=-99,"",'Data Entry'!AB20)</f>
        <v>42.009119790486878</v>
      </c>
      <c r="X13" s="13" t="e">
        <f>IF('Data Entry'!#REF!=-99,"",'Data Entry'!#REF!)</f>
        <v>#REF!</v>
      </c>
      <c r="Y13" s="11">
        <f>IF('Data Entry'!AC20=-99,"",'Data Entry'!AC20)</f>
        <v>2.8261900486395533</v>
      </c>
      <c r="Z13" s="14">
        <f>'Data Entry'!AD20</f>
        <v>565.31756697777985</v>
      </c>
      <c r="AA13" s="14">
        <f>IF('Data Entry'!AE20=-99,"",'Data Entry'!AE20)</f>
        <v>417.76679240100003</v>
      </c>
      <c r="AB13" s="14" t="str">
        <f>IF('Data Entry'!AF20=-99,"",'Data Entry'!AF20)</f>
        <v/>
      </c>
      <c r="AC13" s="14" t="str">
        <f>IF('Data Entry'!AG20=-99,"",'Data Entry'!AG20)</f>
        <v/>
      </c>
      <c r="AD13" s="14">
        <f>IF('Data Entry'!AH20=-99,"",'Data Entry'!AH20)</f>
        <v>1180.6883513357723</v>
      </c>
    </row>
    <row r="14" spans="1:30" x14ac:dyDescent="0.2">
      <c r="A14" s="13">
        <f>'Data Entry'!B21</f>
        <v>5.0527398748397827</v>
      </c>
      <c r="B14" s="9">
        <f>'Data Entry'!C21</f>
        <v>2.8</v>
      </c>
      <c r="C14" s="9">
        <f>'Data Entry'!D21</f>
        <v>6.33</v>
      </c>
      <c r="D14" s="9" t="str">
        <f>IF('Data Entry'!E21="","",'Data Entry'!E21)</f>
        <v/>
      </c>
      <c r="E14" s="13">
        <f>IF('Data Entry'!J21=-99,"",'Data Entry'!J21)</f>
        <v>2.746</v>
      </c>
      <c r="F14" s="9">
        <f>IF('Data Entry'!K21=-99,"",'Data Entry'!K21)</f>
        <v>6.19</v>
      </c>
      <c r="G14" s="11" t="str">
        <f>IF('Data Entry'!L21=-99,"",'Data Entry'!L21)</f>
        <v/>
      </c>
      <c r="H14" s="14">
        <f>'Data Entry'!M21</f>
        <v>109.37096819000244</v>
      </c>
      <c r="I14" s="14">
        <f>'Data Entry'!N21</f>
        <v>5.2367188653318797E-2</v>
      </c>
      <c r="J14" s="14">
        <f>'Data Entry'!O21</f>
        <v>111.23582805699481</v>
      </c>
      <c r="K14" s="14">
        <f>'Data Entry'!P21</f>
        <v>560.59971448248098</v>
      </c>
      <c r="L14" s="14">
        <f>'Data Entry'!Q21</f>
        <v>451.22874629247855</v>
      </c>
      <c r="M14">
        <f>'Data Entry'!R21</f>
        <v>0.26841703509747528</v>
      </c>
      <c r="N14">
        <f>'Data Entry'!S21</f>
        <v>0.21604984644415648</v>
      </c>
      <c r="O14" s="11">
        <f>IF('Data Entry'!T21=-99,"",'Data Entry'!T21)</f>
        <v>1.278570704029319</v>
      </c>
      <c r="P14" s="13">
        <f>IF('Data Entry'!U21=-99,"",'Data Entry'!U21)</f>
        <v>12.467645109124938</v>
      </c>
      <c r="Q14" s="14">
        <f>IF('Data Entry'!V21=-99,"",'Data Entry'!V21)</f>
        <v>119.50680000000003</v>
      </c>
      <c r="R14" s="13" t="str">
        <f>IF('Data Entry'!W21=-99,"",'Data Entry'!W21)</f>
        <v/>
      </c>
      <c r="S14" s="13" t="str">
        <f>IF('Data Entry'!X21=-99,"",'Data Entry'!X21)</f>
        <v/>
      </c>
      <c r="T14" s="13" t="str">
        <f>IF('Data Entry'!Y21=-99,"",'Data Entry'!Y21)</f>
        <v/>
      </c>
      <c r="U14" s="13">
        <f>IF('Data Entry'!Z21=-1,"",'Data Entry'!Z21)</f>
        <v>-99</v>
      </c>
      <c r="V14" s="13">
        <f>IF('Data Entry'!AA21=-1,"",'Data Entry'!AA21)</f>
        <v>-99</v>
      </c>
      <c r="W14" s="13" t="str">
        <f>IF('Data Entry'!AB21=-99,"",'Data Entry'!AB21)</f>
        <v/>
      </c>
      <c r="X14" s="13" t="e">
        <f>IF('Data Entry'!#REF!=-99,"",'Data Entry'!#REF!)</f>
        <v>#REF!</v>
      </c>
      <c r="Y14" s="11">
        <f>IF('Data Entry'!AC21=-99,"",'Data Entry'!AC21)</f>
        <v>2.7088100609113539</v>
      </c>
      <c r="Z14" s="14">
        <f>'Data Entry'!AD21</f>
        <v>323.72122218732108</v>
      </c>
      <c r="AA14" s="14">
        <f>IF('Data Entry'!AE21=-99,"",'Data Entry'!AE21)</f>
        <v>249.59473207200006</v>
      </c>
      <c r="AB14" s="14" t="str">
        <f>IF('Data Entry'!AF21=-99,"",'Data Entry'!AF21)</f>
        <v/>
      </c>
      <c r="AC14" s="14" t="str">
        <f>IF('Data Entry'!AG21=-99,"",'Data Entry'!AG21)</f>
        <v/>
      </c>
      <c r="AD14" s="14">
        <f>IF('Data Entry'!AH21=-99,"",'Data Entry'!AH21)</f>
        <v>676.10472138710747</v>
      </c>
    </row>
    <row r="15" spans="1:30" x14ac:dyDescent="0.2">
      <c r="A15" s="13">
        <f>'Data Entry'!B22</f>
        <v>6.0698500782251363</v>
      </c>
      <c r="B15" s="9">
        <f>'Data Entry'!C22</f>
        <v>5.1100000000000003</v>
      </c>
      <c r="C15" s="9">
        <f>'Data Entry'!D22</f>
        <v>16.93</v>
      </c>
      <c r="D15" s="9" t="str">
        <f>IF('Data Entry'!E22="","",'Data Entry'!E22)</f>
        <v/>
      </c>
      <c r="E15" s="13">
        <f>IF('Data Entry'!J22=-99,"",'Data Entry'!J22)</f>
        <v>4.6415000000000006</v>
      </c>
      <c r="F15" s="9">
        <f>IF('Data Entry'!K22=-99,"",'Data Entry'!K22)</f>
        <v>16.79</v>
      </c>
      <c r="G15" s="11" t="str">
        <f>IF('Data Entry'!L22=-99,"",'Data Entry'!L22)</f>
        <v/>
      </c>
      <c r="H15" s="14">
        <f>'Data Entry'!M22</f>
        <v>172.83864488124851</v>
      </c>
      <c r="I15" s="14">
        <f>'Data Entry'!N22</f>
        <v>8.2755726431501683E-2</v>
      </c>
      <c r="J15" s="14">
        <f>'Data Entry'!O22</f>
        <v>121.63064498606394</v>
      </c>
      <c r="K15" s="14">
        <f>'Data Entry'!P22</f>
        <v>684.31148454214826</v>
      </c>
      <c r="L15" s="14">
        <f>'Data Entry'!Q22</f>
        <v>511.47283966089975</v>
      </c>
      <c r="M15">
        <f>'Data Entry'!R22</f>
        <v>0.32765064808054828</v>
      </c>
      <c r="N15">
        <f>'Data Entry'!S22</f>
        <v>0.24489492164904658</v>
      </c>
      <c r="O15" s="11">
        <f>IF('Data Entry'!T22=-99,"",'Data Entry'!T22)</f>
        <v>2.6648785873857279</v>
      </c>
      <c r="P15" s="13">
        <f>IF('Data Entry'!U22=-99,"",'Data Entry'!U22)</f>
        <v>18.61510333849035</v>
      </c>
      <c r="Q15" s="14">
        <f>IF('Data Entry'!V22=-99,"",'Data Entry'!V22)</f>
        <v>421.55295000000001</v>
      </c>
      <c r="R15" s="13" t="str">
        <f>IF('Data Entry'!W22=-99,"",'Data Entry'!W22)</f>
        <v/>
      </c>
      <c r="S15" s="13" t="str">
        <f>IF('Data Entry'!X22=-99,"",'Data Entry'!X22)</f>
        <v/>
      </c>
      <c r="T15" s="13" t="str">
        <f>IF('Data Entry'!Y22=-99,"",'Data Entry'!Y22)</f>
        <v/>
      </c>
      <c r="U15" s="13">
        <f>IF('Data Entry'!Z22=-1,"",'Data Entry'!Z22)</f>
        <v>-99</v>
      </c>
      <c r="V15" s="13">
        <f>IF('Data Entry'!AA22=-1,"",'Data Entry'!AA22)</f>
        <v>-99</v>
      </c>
      <c r="W15" s="13">
        <f>IF('Data Entry'!AB22=-99,"",'Data Entry'!AB22)</f>
        <v>43.153663235312969</v>
      </c>
      <c r="X15" s="13" t="e">
        <f>IF('Data Entry'!#REF!=-99,"",'Data Entry'!#REF!)</f>
        <v>#REF!</v>
      </c>
      <c r="Y15" s="11">
        <f>IF('Data Entry'!AC22=-99,"",'Data Entry'!AC22)</f>
        <v>3.0883066842066929</v>
      </c>
      <c r="Z15" s="14">
        <f>'Data Entry'!AD22</f>
        <v>1301.8847932320498</v>
      </c>
      <c r="AA15" s="14">
        <f>IF('Data Entry'!AE22=-99,"",'Data Entry'!AE22)</f>
        <v>880.43019819300002</v>
      </c>
      <c r="AB15" s="14" t="str">
        <f>IF('Data Entry'!AF22=-99,"",'Data Entry'!AF22)</f>
        <v/>
      </c>
      <c r="AC15" s="14" t="str">
        <f>IF('Data Entry'!AG22=-99,"",'Data Entry'!AG22)</f>
        <v/>
      </c>
      <c r="AD15" s="14">
        <f>IF('Data Entry'!AH22=-99,"",'Data Entry'!AH22)</f>
        <v>2719.0384660568652</v>
      </c>
    </row>
    <row r="16" spans="1:30" x14ac:dyDescent="0.2">
      <c r="A16" s="13">
        <f>'Data Entry'!B23</f>
        <v>7.0869602816104891</v>
      </c>
      <c r="B16" s="9">
        <f>'Data Entry'!C23</f>
        <v>3.99</v>
      </c>
      <c r="C16" s="9">
        <f>'Data Entry'!D23</f>
        <v>24.75</v>
      </c>
      <c r="D16" s="9" t="str">
        <f>IF('Data Entry'!E23="","",'Data Entry'!E23)</f>
        <v/>
      </c>
      <c r="E16" s="13">
        <f>IF('Data Entry'!J23=-99,"",'Data Entry'!J23)</f>
        <v>3.0745000000000005</v>
      </c>
      <c r="F16" s="9">
        <f>IF('Data Entry'!K23=-99,"",'Data Entry'!K23)</f>
        <v>24.61</v>
      </c>
      <c r="G16" s="11" t="str">
        <f>IF('Data Entry'!L23=-99,"",'Data Entry'!L23)</f>
        <v/>
      </c>
      <c r="H16" s="14">
        <f>'Data Entry'!M23</f>
        <v>236.30632157249451</v>
      </c>
      <c r="I16" s="14">
        <f>'Data Entry'!N23</f>
        <v>0.11314426420968453</v>
      </c>
      <c r="J16" s="14">
        <f>'Data Entry'!O23</f>
        <v>122.49176494422353</v>
      </c>
      <c r="K16" s="14">
        <f>'Data Entry'!P23</f>
        <v>808.89910849759826</v>
      </c>
      <c r="L16" s="14">
        <f>'Data Entry'!Q23</f>
        <v>572.59278692510372</v>
      </c>
      <c r="M16">
        <f>'Data Entry'!R23</f>
        <v>0.38730362286458403</v>
      </c>
      <c r="N16">
        <f>'Data Entry'!S23</f>
        <v>0.27415935865489949</v>
      </c>
      <c r="O16" s="11">
        <f>IF('Data Entry'!T23=-99,"",'Data Entry'!T23)</f>
        <v>7.2721759630991043</v>
      </c>
      <c r="P16" s="13">
        <f>IF('Data Entry'!U23=-99,"",'Data Entry'!U23)</f>
        <v>10.801585436731155</v>
      </c>
      <c r="Q16" s="14">
        <f>IF('Data Entry'!V23=-99,"",'Data Entry'!V23)</f>
        <v>747.28185000000008</v>
      </c>
      <c r="R16" s="13" t="str">
        <f>IF('Data Entry'!W23=-99,"",'Data Entry'!W23)</f>
        <v/>
      </c>
      <c r="S16" s="13" t="str">
        <f>IF('Data Entry'!X23=-99,"",'Data Entry'!X23)</f>
        <v/>
      </c>
      <c r="T16" s="13" t="str">
        <f>IF('Data Entry'!Y23=-99,"",'Data Entry'!Y23)</f>
        <v/>
      </c>
      <c r="U16" s="13">
        <f>IF('Data Entry'!Z23=-1,"",'Data Entry'!Z23)</f>
        <v>-99</v>
      </c>
      <c r="V16" s="13">
        <f>IF('Data Entry'!AA23=-1,"",'Data Entry'!AA23)</f>
        <v>-99</v>
      </c>
      <c r="W16" s="13">
        <f>IF('Data Entry'!AB23=-99,"",'Data Entry'!AB23)</f>
        <v>40.845915085809693</v>
      </c>
      <c r="X16" s="13" t="e">
        <f>IF('Data Entry'!#REF!=-99,"",'Data Entry'!#REF!)</f>
        <v>#REF!</v>
      </c>
      <c r="Y16" s="11">
        <f>IF('Data Entry'!AC23=-99,"",'Data Entry'!AC23)</f>
        <v>2.5730027611318365</v>
      </c>
      <c r="Z16" s="14">
        <f>'Data Entry'!AD23</f>
        <v>1922.758263393707</v>
      </c>
      <c r="AA16" s="14">
        <f>IF('Data Entry'!AE23=-99,"",'Data Entry'!AE23)</f>
        <v>1560.7280349990001</v>
      </c>
      <c r="AB16" s="14" t="str">
        <f>IF('Data Entry'!AF23=-99,"",'Data Entry'!AF23)</f>
        <v/>
      </c>
      <c r="AC16" s="14" t="str">
        <f>IF('Data Entry'!AG23=-99,"",'Data Entry'!AG23)</f>
        <v/>
      </c>
      <c r="AD16" s="14">
        <f>IF('Data Entry'!AH23=-99,"",'Data Entry'!AH23)</f>
        <v>4015.757543428293</v>
      </c>
    </row>
    <row r="17" spans="1:30" x14ac:dyDescent="0.2">
      <c r="A17" s="13"/>
      <c r="B17" s="9"/>
      <c r="C17" s="9"/>
      <c r="D17" s="9"/>
      <c r="E17" s="13"/>
      <c r="F17" s="9"/>
      <c r="G17" s="11"/>
      <c r="H17" s="14"/>
      <c r="I17" s="14"/>
      <c r="J17" s="14"/>
      <c r="K17" s="14"/>
      <c r="L17" s="14"/>
      <c r="O17" s="11"/>
      <c r="P17" s="13"/>
      <c r="Q17" s="14"/>
      <c r="R17" s="13"/>
      <c r="S17" s="13"/>
      <c r="T17" s="13"/>
      <c r="U17" s="13"/>
      <c r="V17" s="13"/>
      <c r="W17" s="13"/>
      <c r="X17" s="13"/>
      <c r="Y17" s="11"/>
      <c r="Z17" s="14"/>
      <c r="AA17" s="14"/>
      <c r="AB17" s="14"/>
      <c r="AC17" s="14"/>
      <c r="AD17" s="14"/>
    </row>
    <row r="18" spans="1:30" x14ac:dyDescent="0.2">
      <c r="A18" s="13"/>
      <c r="B18" s="9"/>
      <c r="C18" s="9"/>
      <c r="D18" s="9"/>
      <c r="E18" s="13"/>
      <c r="F18" s="9"/>
      <c r="G18" s="11"/>
      <c r="H18" s="14"/>
      <c r="I18" s="14"/>
      <c r="J18" s="14"/>
      <c r="K18" s="14"/>
      <c r="L18" s="14"/>
      <c r="O18" s="11"/>
      <c r="P18" s="13"/>
      <c r="Q18" s="14"/>
      <c r="R18" s="13"/>
      <c r="S18" s="13"/>
      <c r="T18" s="13"/>
      <c r="U18" s="13"/>
      <c r="V18" s="13"/>
      <c r="W18" s="13"/>
      <c r="X18" s="13"/>
      <c r="Y18" s="11"/>
      <c r="Z18" s="14"/>
      <c r="AA18" s="14"/>
      <c r="AB18" s="14"/>
      <c r="AC18" s="14"/>
      <c r="AD18" s="14"/>
    </row>
    <row r="19" spans="1:30" x14ac:dyDescent="0.2">
      <c r="A19" s="13"/>
      <c r="B19" s="9"/>
      <c r="C19" s="9"/>
      <c r="D19" s="9"/>
      <c r="E19" s="13"/>
      <c r="F19" s="9"/>
      <c r="G19" s="11"/>
      <c r="H19" s="14"/>
      <c r="I19" s="14"/>
      <c r="J19" s="14"/>
      <c r="K19" s="14"/>
      <c r="L19" s="14"/>
      <c r="O19" s="11"/>
      <c r="P19" s="13"/>
      <c r="Q19" s="14"/>
      <c r="R19" s="13"/>
      <c r="S19" s="13"/>
      <c r="T19" s="13"/>
      <c r="U19" s="13"/>
      <c r="V19" s="13"/>
      <c r="W19" s="13"/>
      <c r="X19" s="13"/>
      <c r="Y19" s="11"/>
      <c r="Z19" s="14"/>
      <c r="AA19" s="14"/>
      <c r="AB19" s="14"/>
      <c r="AC19" s="14"/>
      <c r="AD19" s="14"/>
    </row>
    <row r="20" spans="1:30" x14ac:dyDescent="0.2">
      <c r="A20" s="13"/>
      <c r="B20" s="9"/>
      <c r="C20" s="9"/>
      <c r="D20" s="9"/>
      <c r="E20" s="13"/>
      <c r="F20" s="9"/>
      <c r="G20" s="11"/>
      <c r="H20" s="14"/>
      <c r="I20" s="14"/>
      <c r="J20" s="14"/>
      <c r="K20" s="14"/>
      <c r="L20" s="14"/>
      <c r="O20" s="11"/>
      <c r="P20" s="13"/>
      <c r="Q20" s="14"/>
      <c r="R20" s="13"/>
      <c r="S20" s="13"/>
      <c r="T20" s="13"/>
      <c r="U20" s="13"/>
      <c r="V20" s="13"/>
      <c r="W20" s="13"/>
      <c r="X20" s="13"/>
      <c r="Y20" s="11"/>
      <c r="Z20" s="14"/>
      <c r="AA20" s="14"/>
      <c r="AB20" s="14"/>
      <c r="AC20" s="14"/>
      <c r="AD20" s="14"/>
    </row>
    <row r="21" spans="1:30" x14ac:dyDescent="0.2">
      <c r="A21" s="13"/>
      <c r="B21" s="9"/>
      <c r="C21" s="9"/>
      <c r="D21" s="9"/>
      <c r="E21" s="13"/>
      <c r="F21" s="9"/>
      <c r="G21" s="11"/>
      <c r="H21" s="14"/>
      <c r="I21" s="14"/>
      <c r="J21" s="14"/>
      <c r="K21" s="14"/>
      <c r="L21" s="14"/>
      <c r="O21" s="11"/>
      <c r="P21" s="13"/>
      <c r="Q21" s="14"/>
      <c r="R21" s="13"/>
      <c r="S21" s="13"/>
      <c r="T21" s="13"/>
      <c r="U21" s="13"/>
      <c r="V21" s="13"/>
      <c r="W21" s="13"/>
      <c r="X21" s="13"/>
      <c r="Y21" s="11"/>
      <c r="Z21" s="14"/>
      <c r="AA21" s="14"/>
      <c r="AB21" s="14"/>
      <c r="AC21" s="14"/>
      <c r="AD21" s="14"/>
    </row>
    <row r="22" spans="1:30" x14ac:dyDescent="0.2">
      <c r="A22" s="13"/>
      <c r="B22" s="9"/>
      <c r="C22" s="9"/>
      <c r="D22" s="9"/>
      <c r="E22" s="13"/>
      <c r="F22" s="9"/>
      <c r="G22" s="11"/>
      <c r="H22" s="14"/>
      <c r="I22" s="14"/>
      <c r="J22" s="14"/>
      <c r="K22" s="14"/>
      <c r="L22" s="14"/>
      <c r="O22" s="11"/>
      <c r="P22" s="13"/>
      <c r="Q22" s="14"/>
      <c r="R22" s="13"/>
      <c r="S22" s="13"/>
      <c r="T22" s="13"/>
      <c r="U22" s="13"/>
      <c r="V22" s="13"/>
      <c r="W22" s="13"/>
      <c r="X22" s="13"/>
      <c r="Y22" s="11"/>
      <c r="Z22" s="14"/>
      <c r="AA22" s="14"/>
      <c r="AB22" s="14"/>
      <c r="AC22" s="14"/>
      <c r="AD22" s="14"/>
    </row>
    <row r="23" spans="1:30" x14ac:dyDescent="0.2">
      <c r="A23" s="13"/>
      <c r="B23" s="9"/>
      <c r="C23" s="9"/>
      <c r="D23" s="9"/>
      <c r="E23" s="13"/>
      <c r="F23" s="9"/>
      <c r="G23" s="11"/>
      <c r="H23" s="14"/>
      <c r="I23" s="14"/>
      <c r="J23" s="14"/>
      <c r="K23" s="14"/>
      <c r="L23" s="14"/>
      <c r="O23" s="11"/>
      <c r="P23" s="13"/>
      <c r="Q23" s="14"/>
      <c r="R23" s="13"/>
      <c r="S23" s="13"/>
      <c r="T23" s="13"/>
      <c r="U23" s="13"/>
      <c r="V23" s="13"/>
      <c r="W23" s="13"/>
      <c r="X23" s="13"/>
      <c r="Y23" s="11"/>
      <c r="Z23" s="14"/>
      <c r="AA23" s="14"/>
      <c r="AB23" s="14"/>
      <c r="AC23" s="14"/>
      <c r="AD23" s="14"/>
    </row>
    <row r="24" spans="1:30" x14ac:dyDescent="0.2">
      <c r="A24" s="13"/>
      <c r="B24" s="9"/>
      <c r="C24" s="9"/>
      <c r="D24" s="9"/>
      <c r="E24" s="13"/>
      <c r="F24" s="9"/>
      <c r="G24" s="11"/>
      <c r="H24" s="14"/>
      <c r="I24" s="14"/>
      <c r="J24" s="14"/>
      <c r="K24" s="14"/>
      <c r="L24" s="14"/>
      <c r="O24" s="11"/>
      <c r="P24" s="13"/>
      <c r="Q24" s="14"/>
      <c r="R24" s="13"/>
      <c r="S24" s="13"/>
      <c r="T24" s="13"/>
      <c r="U24" s="13"/>
      <c r="V24" s="13"/>
      <c r="W24" s="13"/>
      <c r="X24" s="13"/>
      <c r="Y24" s="11"/>
      <c r="Z24" s="14"/>
      <c r="AA24" s="14"/>
      <c r="AB24" s="14"/>
      <c r="AC24" s="14"/>
      <c r="AD24" s="14"/>
    </row>
    <row r="25" spans="1:30" x14ac:dyDescent="0.2">
      <c r="A25" s="13"/>
      <c r="B25" s="9"/>
      <c r="C25" s="9"/>
      <c r="D25" s="9"/>
      <c r="E25" s="13"/>
      <c r="F25" s="9"/>
      <c r="G25" s="11"/>
      <c r="H25" s="14"/>
      <c r="I25" s="14"/>
      <c r="J25" s="14"/>
      <c r="K25" s="14"/>
      <c r="L25" s="14"/>
      <c r="O25" s="11"/>
      <c r="P25" s="13"/>
      <c r="Q25" s="14"/>
      <c r="R25" s="13"/>
      <c r="S25" s="13"/>
      <c r="T25" s="13"/>
      <c r="U25" s="13"/>
      <c r="V25" s="13"/>
      <c r="W25" s="13"/>
      <c r="X25" s="13"/>
      <c r="Y25" s="11"/>
      <c r="Z25" s="14"/>
      <c r="AA25" s="14"/>
      <c r="AB25" s="14"/>
      <c r="AC25" s="14"/>
      <c r="AD25" s="14"/>
    </row>
    <row r="26" spans="1:30" x14ac:dyDescent="0.2">
      <c r="A26" s="13"/>
      <c r="B26" s="9"/>
      <c r="C26" s="9"/>
      <c r="D26" s="9"/>
      <c r="E26" s="13"/>
      <c r="F26" s="9"/>
      <c r="G26" s="11"/>
      <c r="H26" s="14"/>
      <c r="I26" s="14"/>
      <c r="J26" s="14"/>
      <c r="K26" s="14"/>
      <c r="L26" s="14"/>
      <c r="O26" s="11"/>
      <c r="P26" s="13"/>
      <c r="Q26" s="14"/>
      <c r="R26" s="13"/>
      <c r="S26" s="13"/>
      <c r="T26" s="13"/>
      <c r="U26" s="13"/>
      <c r="V26" s="13"/>
      <c r="W26" s="13"/>
      <c r="X26" s="13"/>
      <c r="Y26" s="11"/>
      <c r="Z26" s="14"/>
      <c r="AA26" s="14"/>
      <c r="AB26" s="14"/>
      <c r="AC26" s="14"/>
      <c r="AD26" s="14"/>
    </row>
    <row r="27" spans="1:30" x14ac:dyDescent="0.2">
      <c r="A27" s="13"/>
      <c r="B27" s="9"/>
      <c r="C27" s="9"/>
      <c r="D27" s="9"/>
      <c r="E27" s="13"/>
      <c r="F27" s="9"/>
      <c r="G27" s="11"/>
      <c r="H27" s="14"/>
      <c r="I27" s="14"/>
      <c r="J27" s="14"/>
      <c r="K27" s="14"/>
      <c r="L27" s="14"/>
      <c r="O27" s="11"/>
      <c r="P27" s="13"/>
      <c r="Q27" s="14"/>
      <c r="R27" s="13"/>
      <c r="S27" s="13"/>
      <c r="T27" s="13"/>
      <c r="U27" s="13"/>
      <c r="V27" s="13"/>
      <c r="W27" s="13"/>
      <c r="X27" s="13"/>
      <c r="Y27" s="11"/>
      <c r="Z27" s="14"/>
      <c r="AA27" s="14"/>
      <c r="AB27" s="14"/>
      <c r="AC27" s="14"/>
      <c r="AD27" s="14"/>
    </row>
    <row r="28" spans="1:30" x14ac:dyDescent="0.2">
      <c r="A28" s="13"/>
      <c r="B28" s="9"/>
      <c r="C28" s="9"/>
      <c r="D28" s="9"/>
      <c r="E28" s="13"/>
      <c r="F28" s="9"/>
      <c r="G28" s="11"/>
      <c r="H28" s="14"/>
      <c r="I28" s="14"/>
      <c r="J28" s="14"/>
      <c r="K28" s="14"/>
      <c r="L28" s="14"/>
      <c r="O28" s="11"/>
      <c r="P28" s="13"/>
      <c r="Q28" s="14"/>
      <c r="R28" s="13"/>
      <c r="S28" s="13"/>
      <c r="T28" s="13"/>
      <c r="U28" s="13"/>
      <c r="V28" s="13"/>
      <c r="W28" s="13"/>
      <c r="X28" s="13"/>
      <c r="Y28" s="11"/>
      <c r="Z28" s="14"/>
      <c r="AA28" s="14"/>
      <c r="AB28" s="14"/>
      <c r="AC28" s="14"/>
      <c r="AD28" s="14"/>
    </row>
    <row r="29" spans="1:30" x14ac:dyDescent="0.2">
      <c r="A29" s="13"/>
      <c r="B29" s="9"/>
      <c r="C29" s="9"/>
      <c r="D29" s="9"/>
      <c r="E29" s="13"/>
      <c r="F29" s="9"/>
      <c r="G29" s="11"/>
      <c r="H29" s="14"/>
      <c r="I29" s="14"/>
      <c r="J29" s="14"/>
      <c r="K29" s="14"/>
      <c r="L29" s="14"/>
      <c r="O29" s="11"/>
      <c r="P29" s="13"/>
      <c r="Q29" s="14"/>
      <c r="R29" s="13"/>
      <c r="S29" s="13"/>
      <c r="T29" s="13"/>
      <c r="U29" s="13"/>
      <c r="V29" s="13"/>
      <c r="W29" s="13"/>
      <c r="X29" s="13"/>
      <c r="Y29" s="11"/>
      <c r="Z29" s="14"/>
      <c r="AA29" s="14"/>
      <c r="AB29" s="14"/>
      <c r="AC29" s="14"/>
      <c r="AD29" s="14"/>
    </row>
    <row r="30" spans="1:30" x14ac:dyDescent="0.2">
      <c r="A30" s="13"/>
      <c r="B30" s="9"/>
      <c r="C30" s="9"/>
      <c r="D30" s="9"/>
      <c r="E30" s="13"/>
      <c r="F30" s="9"/>
      <c r="G30" s="11"/>
      <c r="H30" s="14"/>
      <c r="I30" s="14"/>
      <c r="J30" s="14"/>
      <c r="K30" s="14"/>
      <c r="L30" s="14"/>
      <c r="O30" s="11"/>
      <c r="P30" s="13"/>
      <c r="Q30" s="14"/>
      <c r="R30" s="13"/>
      <c r="S30" s="13"/>
      <c r="T30" s="13"/>
      <c r="U30" s="13"/>
      <c r="V30" s="13"/>
      <c r="W30" s="13"/>
      <c r="X30" s="13"/>
      <c r="Y30" s="11"/>
      <c r="Z30" s="14"/>
      <c r="AA30" s="14"/>
      <c r="AB30" s="14"/>
      <c r="AC30" s="14"/>
      <c r="AD30" s="14"/>
    </row>
    <row r="31" spans="1:30" x14ac:dyDescent="0.2">
      <c r="A31" s="13"/>
      <c r="B31" s="9"/>
      <c r="C31" s="9"/>
      <c r="D31" s="9"/>
      <c r="E31" s="13"/>
      <c r="F31" s="9"/>
      <c r="G31" s="11"/>
      <c r="H31" s="14"/>
      <c r="I31" s="14"/>
      <c r="J31" s="14"/>
      <c r="K31" s="14"/>
      <c r="L31" s="14"/>
      <c r="O31" s="11"/>
      <c r="P31" s="13"/>
      <c r="Q31" s="14"/>
      <c r="R31" s="13"/>
      <c r="S31" s="13"/>
      <c r="T31" s="13"/>
      <c r="U31" s="13"/>
      <c r="V31" s="13"/>
      <c r="W31" s="13"/>
      <c r="X31" s="13"/>
      <c r="Y31" s="11"/>
      <c r="Z31" s="14"/>
      <c r="AA31" s="14"/>
      <c r="AB31" s="14"/>
      <c r="AC31" s="14"/>
      <c r="AD31" s="14"/>
    </row>
    <row r="32" spans="1:30" x14ac:dyDescent="0.2">
      <c r="A32" s="13"/>
      <c r="B32" s="9"/>
      <c r="C32" s="9"/>
      <c r="D32" s="9"/>
      <c r="E32" s="13"/>
      <c r="F32" s="9"/>
      <c r="G32" s="11"/>
      <c r="H32" s="14"/>
      <c r="I32" s="14"/>
      <c r="J32" s="14"/>
      <c r="K32" s="14"/>
      <c r="L32" s="14"/>
      <c r="O32" s="11"/>
      <c r="P32" s="13"/>
      <c r="Q32" s="14"/>
      <c r="R32" s="13"/>
      <c r="S32" s="13"/>
      <c r="T32" s="13"/>
      <c r="U32" s="13"/>
      <c r="V32" s="13"/>
      <c r="W32" s="13"/>
      <c r="X32" s="13"/>
      <c r="Y32" s="11"/>
      <c r="Z32" s="14"/>
      <c r="AA32" s="14"/>
      <c r="AB32" s="14"/>
      <c r="AC32" s="14"/>
      <c r="AD32" s="14"/>
    </row>
    <row r="33" spans="1:30" x14ac:dyDescent="0.2">
      <c r="A33" s="13"/>
      <c r="B33" s="9"/>
      <c r="C33" s="9"/>
      <c r="D33" s="9"/>
      <c r="E33" s="13"/>
      <c r="F33" s="9"/>
      <c r="G33" s="11"/>
      <c r="H33" s="14"/>
      <c r="I33" s="14"/>
      <c r="J33" s="14"/>
      <c r="K33" s="14"/>
      <c r="L33" s="14"/>
      <c r="O33" s="11"/>
      <c r="P33" s="13"/>
      <c r="Q33" s="14"/>
      <c r="R33" s="13"/>
      <c r="S33" s="13"/>
      <c r="T33" s="13"/>
      <c r="U33" s="13"/>
      <c r="V33" s="13"/>
      <c r="W33" s="13"/>
      <c r="X33" s="13"/>
      <c r="Y33" s="11"/>
      <c r="Z33" s="14"/>
      <c r="AA33" s="14"/>
      <c r="AB33" s="14"/>
      <c r="AC33" s="14"/>
      <c r="AD33" s="14"/>
    </row>
    <row r="34" spans="1:30" x14ac:dyDescent="0.2">
      <c r="A34" s="13"/>
      <c r="B34" s="9"/>
      <c r="C34" s="9"/>
      <c r="D34" s="9"/>
      <c r="E34" s="13"/>
      <c r="F34" s="9"/>
      <c r="G34" s="11"/>
      <c r="H34" s="14"/>
      <c r="I34" s="14"/>
      <c r="J34" s="14"/>
      <c r="K34" s="14"/>
      <c r="L34" s="14"/>
      <c r="O34" s="11"/>
      <c r="P34" s="13"/>
      <c r="Q34" s="14"/>
      <c r="R34" s="13"/>
      <c r="S34" s="13"/>
      <c r="T34" s="13"/>
      <c r="U34" s="13"/>
      <c r="V34" s="13"/>
      <c r="W34" s="13"/>
      <c r="X34" s="13"/>
      <c r="Y34" s="11"/>
      <c r="Z34" s="14"/>
      <c r="AA34" s="14"/>
      <c r="AB34" s="14"/>
      <c r="AC34" s="14"/>
      <c r="AD34" s="14"/>
    </row>
    <row r="35" spans="1:30" x14ac:dyDescent="0.2">
      <c r="A35" s="13"/>
      <c r="B35" s="9"/>
      <c r="C35" s="9"/>
      <c r="D35" s="9"/>
      <c r="E35" s="13"/>
      <c r="F35" s="9"/>
      <c r="G35" s="11"/>
      <c r="H35" s="14"/>
      <c r="I35" s="14"/>
      <c r="J35" s="14"/>
      <c r="K35" s="14"/>
      <c r="L35" s="14"/>
      <c r="O35" s="11"/>
      <c r="P35" s="13"/>
      <c r="Q35" s="14"/>
      <c r="R35" s="13"/>
      <c r="S35" s="13"/>
      <c r="T35" s="13"/>
      <c r="U35" s="13"/>
      <c r="V35" s="13"/>
      <c r="W35" s="13"/>
      <c r="X35" s="13"/>
      <c r="Y35" s="11"/>
      <c r="Z35" s="14"/>
      <c r="AA35" s="14"/>
      <c r="AB35" s="14"/>
      <c r="AC35" s="14"/>
      <c r="AD35" s="14"/>
    </row>
    <row r="36" spans="1:30" x14ac:dyDescent="0.2">
      <c r="A36" s="13"/>
      <c r="B36" s="9"/>
      <c r="C36" s="9"/>
      <c r="D36" s="9"/>
      <c r="E36" s="13"/>
      <c r="F36" s="9"/>
      <c r="G36" s="11"/>
      <c r="H36" s="14"/>
      <c r="I36" s="14"/>
      <c r="J36" s="14"/>
      <c r="K36" s="14"/>
      <c r="L36" s="14"/>
      <c r="O36" s="11"/>
      <c r="P36" s="13"/>
      <c r="Q36" s="14"/>
      <c r="R36" s="13"/>
      <c r="S36" s="13"/>
      <c r="T36" s="13"/>
      <c r="U36" s="13"/>
      <c r="V36" s="13"/>
      <c r="W36" s="13"/>
      <c r="X36" s="13"/>
      <c r="Y36" s="11"/>
      <c r="Z36" s="14"/>
      <c r="AA36" s="14"/>
      <c r="AB36" s="14"/>
      <c r="AC36" s="14"/>
      <c r="AD36" s="14"/>
    </row>
    <row r="37" spans="1:30" x14ac:dyDescent="0.2">
      <c r="A37" s="13"/>
      <c r="B37" s="9"/>
      <c r="C37" s="9"/>
      <c r="D37" s="9"/>
      <c r="E37" s="13"/>
      <c r="F37" s="9"/>
      <c r="G37" s="11"/>
      <c r="H37" s="14"/>
      <c r="I37" s="14"/>
      <c r="J37" s="14"/>
      <c r="K37" s="14"/>
      <c r="L37" s="14"/>
      <c r="O37" s="11"/>
      <c r="P37" s="13"/>
      <c r="Q37" s="14"/>
      <c r="R37" s="13"/>
      <c r="S37" s="13"/>
      <c r="T37" s="13"/>
      <c r="U37" s="13"/>
      <c r="V37" s="13"/>
      <c r="W37" s="13"/>
      <c r="X37" s="13"/>
      <c r="Y37" s="11"/>
      <c r="Z37" s="14"/>
      <c r="AA37" s="14"/>
      <c r="AB37" s="14"/>
      <c r="AC37" s="14"/>
      <c r="AD37" s="14"/>
    </row>
    <row r="38" spans="1:30" x14ac:dyDescent="0.2">
      <c r="A38" s="13"/>
      <c r="B38" s="9"/>
      <c r="C38" s="9"/>
      <c r="D38" s="9"/>
      <c r="E38" s="13"/>
      <c r="F38" s="9"/>
      <c r="G38" s="11"/>
      <c r="H38" s="14"/>
      <c r="I38" s="14"/>
      <c r="J38" s="14"/>
      <c r="K38" s="14"/>
      <c r="L38" s="14"/>
      <c r="O38" s="11"/>
      <c r="P38" s="13"/>
      <c r="Q38" s="14"/>
      <c r="R38" s="13"/>
      <c r="S38" s="13"/>
      <c r="T38" s="13"/>
      <c r="U38" s="13"/>
      <c r="V38" s="13"/>
      <c r="W38" s="13"/>
      <c r="X38" s="13"/>
      <c r="Y38" s="11"/>
      <c r="Z38" s="14"/>
      <c r="AA38" s="14"/>
      <c r="AB38" s="14"/>
      <c r="AC38" s="14"/>
      <c r="AD38" s="14"/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H12" sqref="H12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0.11</v>
      </c>
      <c r="R4" s="8" t="s">
        <v>49</v>
      </c>
      <c r="S4" s="33">
        <v>0.11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0.14000000000000001</v>
      </c>
      <c r="R5" s="8" t="s">
        <v>51</v>
      </c>
      <c r="S5" s="33">
        <v>0.14000000000000001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0.11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4">
        <v>3.3</v>
      </c>
      <c r="P9" s="35"/>
      <c r="Q9" s="36" t="s">
        <v>51</v>
      </c>
      <c r="R9" s="37">
        <f>(Q5+S5)/2</f>
        <v>0.14000000000000001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7.09</v>
      </c>
      <c r="O10" t="s">
        <v>59</v>
      </c>
    </row>
    <row r="11" spans="1:37" x14ac:dyDescent="0.2">
      <c r="C11" s="3" t="s">
        <v>60</v>
      </c>
      <c r="D11" s="56">
        <v>33.320712</v>
      </c>
      <c r="G11" s="3" t="s">
        <v>76</v>
      </c>
      <c r="H11" s="55" t="s">
        <v>78</v>
      </c>
    </row>
    <row r="12" spans="1:37" x14ac:dyDescent="0.2">
      <c r="C12" s="3" t="s">
        <v>61</v>
      </c>
      <c r="D12" s="56">
        <v>-80.545946999999998</v>
      </c>
      <c r="G12" s="3" t="s">
        <v>77</v>
      </c>
      <c r="H12" s="55" t="s">
        <v>79</v>
      </c>
    </row>
    <row r="13" spans="1:37" x14ac:dyDescent="0.2">
      <c r="C13" s="3" t="s">
        <v>74</v>
      </c>
      <c r="D13" s="4">
        <v>110.8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0.72</v>
      </c>
      <c r="D17" s="46">
        <v>3.26</v>
      </c>
      <c r="E17" s="15"/>
      <c r="F17" s="15"/>
      <c r="G17" s="27">
        <v>1</v>
      </c>
      <c r="H17" s="40">
        <f t="shared" ref="H17:H23" si="0">IF(G17=1,$R$8,IF(G17=2,$W$8,$AB$8))</f>
        <v>0.11</v>
      </c>
      <c r="I17" s="40">
        <f t="shared" ref="I17:I23" si="1">IF(G17=1,$R$9,IF(G17=2,$W$9,$AB$9))</f>
        <v>0.14000000000000001</v>
      </c>
      <c r="J17" s="11">
        <f>IF(F17="y",-99,1.05*(C17-$L$4+H17)-0.05*(D17-$L$4-I17))</f>
        <v>0.71549999999999991</v>
      </c>
      <c r="K17" s="11">
        <f>IF(F17="y",-99,D17-$L$4-I17)</f>
        <v>3.1199999999999997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102.24835655055251</v>
      </c>
      <c r="P17" s="9">
        <f>O17*B17</f>
        <v>103.99782673097164</v>
      </c>
      <c r="Q17" s="13">
        <f t="shared" ref="Q17:Q19" si="2">P17-M17</f>
        <v>103.99782673097164</v>
      </c>
      <c r="R17" s="11">
        <f>P17/2088.54</f>
        <v>4.9794510390498453E-2</v>
      </c>
      <c r="S17" s="11">
        <f>Q17/2088.54</f>
        <v>4.9794510390498453E-2</v>
      </c>
      <c r="T17" s="11">
        <f>IF(F17="y",-99,(K17-J17)/(J17-N17))</f>
        <v>3.3605870020964361</v>
      </c>
      <c r="U17" s="13">
        <f>IF(F17="y",-99,(J17-N17)/S17)</f>
        <v>14.369053825188894</v>
      </c>
      <c r="V17" s="11">
        <f>IF(F17="y",-99,IF(J17&gt;K17,-1,34.7*(K17-J17)))</f>
        <v>83.436149999999998</v>
      </c>
      <c r="W17" s="11">
        <f t="shared" ref="W17:W23" si="3">IF(F17="y",-99,IF(T17&gt;=1.2,-99,(U17/1.5)^0.47-0.6))</f>
        <v>-99</v>
      </c>
      <c r="X17" s="11">
        <f t="shared" ref="X17:X23" si="4">IF(F17="y",-99,IF(T17&lt;1.2,0.509*(J17-N17)/S17,-99))</f>
        <v>-99</v>
      </c>
      <c r="Y17" s="11">
        <f t="shared" ref="Y17:Y23" si="5">IF(F17="y",-99,IF(T17&lt;1.2,(0.5*U17)^1.56,-99))</f>
        <v>-99</v>
      </c>
      <c r="Z17" s="11">
        <f t="shared" ref="Z17:Z23" si="6">IF(F17="y",-99,IF(T17&lt;1.2,0.22*S17*((0.5*U17)^1.25),-99))</f>
        <v>-99</v>
      </c>
      <c r="AA17" s="11">
        <f t="shared" ref="AA17:AA23" si="7">IF(F17="y",-99,IF(T17&lt;1.2,(J17-N17)/10,-99))</f>
        <v>-99</v>
      </c>
      <c r="AB17" s="13">
        <f t="shared" ref="AB17:AB23" si="8">IF(F17="y",-99,IF(T17&gt;=1.8,28+14.6*LOG(U17)-2.1*(LOG(U17)^2),-99))</f>
        <v>42.085207363406319</v>
      </c>
      <c r="AC17" s="11">
        <f t="shared" ref="AC17:AC23" si="9">IF(F17="y",-99,MAX(0.85,IF(U17&gt;10,0.32+2.18*LOG(U17),IF(T17&lt;=0.6,0.14+2.36*LOG(U17),IF(T17&gt;=3,0.5+2*LOG(U17),(0.14+0.15*(T17-0.6)+(2.5-(0.14+0.15*(T17-0.6)))*LOG(U17)))))))</f>
        <v>2.8431934141135837</v>
      </c>
      <c r="AD17" s="13">
        <f t="shared" ref="AD17:AD23" si="10">IF(F17="y",-99,IF(AC17&lt;0.85,0.85*V17,AC17*V17))</f>
        <v>237.22511217899307</v>
      </c>
      <c r="AE17" s="13">
        <f t="shared" ref="AE17:AE23" si="11">IF(F17="y",-99,V17*2088.54/1000)</f>
        <v>174.259736721</v>
      </c>
      <c r="AF17" s="14">
        <f t="shared" ref="AF17:AF23" si="12">IF(F17="y",-99,IF(Z17=-99,-99,Z17*2088.54))</f>
        <v>-99</v>
      </c>
      <c r="AG17" s="14">
        <f t="shared" ref="AG17:AG23" si="13">IF(F17="y",-99,IF(AA17=-99,-99,AA17*2088.54))</f>
        <v>-99</v>
      </c>
      <c r="AH17" s="13">
        <f t="shared" ref="AH17:AH23" si="14">IF(F17="y",-99,AD17*2088.54/1000)</f>
        <v>495.45413579031418</v>
      </c>
    </row>
    <row r="18" spans="2:35" x14ac:dyDescent="0.2">
      <c r="B18" s="46">
        <v>2.0014100469350815</v>
      </c>
      <c r="C18" s="46">
        <v>2.85</v>
      </c>
      <c r="D18" s="46">
        <v>12.43</v>
      </c>
      <c r="E18" s="15"/>
      <c r="F18" s="15"/>
      <c r="G18" s="27">
        <v>1</v>
      </c>
      <c r="H18" s="40">
        <f t="shared" si="0"/>
        <v>0.11</v>
      </c>
      <c r="I18" s="40">
        <f t="shared" si="1"/>
        <v>0.14000000000000001</v>
      </c>
      <c r="J18" s="11">
        <f t="shared" ref="J18:J23" si="15">IF(F18="y",-99,1.05*(C18-$L$4+H18)-0.05*(D18-$L$4-I18))</f>
        <v>2.4935</v>
      </c>
      <c r="K18" s="11">
        <f t="shared" ref="K18:K23" si="16">IF(F18="y",-99,D18-$L$4-I18)</f>
        <v>12.29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116.75315656030872</v>
      </c>
      <c r="P18" s="9">
        <f>P17+(B18-B17)*O18</f>
        <v>218.91796329979928</v>
      </c>
      <c r="Q18" s="13">
        <f t="shared" si="2"/>
        <v>218.91796329979928</v>
      </c>
      <c r="R18" s="11">
        <f>P18/2088.54</f>
        <v>0.10481865958985669</v>
      </c>
      <c r="S18" s="11">
        <f>Q18/2088.54</f>
        <v>0.10481865958985669</v>
      </c>
      <c r="T18" s="11">
        <f t="shared" ref="T18:T19" si="20">IF(F18="y",-99,(K18-J18)/(J18-N18))</f>
        <v>3.9288149187888504</v>
      </c>
      <c r="U18" s="13">
        <f t="shared" ref="U18:U19" si="21">IF(F18="y",-99,(J18-N18)/S18)</f>
        <v>23.788703364045844</v>
      </c>
      <c r="V18" s="11">
        <f t="shared" ref="V18:V19" si="22">IF(F18="y",-99,IF(J18&gt;K18,-1,34.7*(K18-J18)))</f>
        <v>339.93854999999996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44.116780606957455</v>
      </c>
      <c r="AC18" s="11">
        <f t="shared" si="9"/>
        <v>3.320488280485856</v>
      </c>
      <c r="AD18" s="13">
        <f t="shared" si="10"/>
        <v>1128.7619713603551</v>
      </c>
      <c r="AE18" s="13">
        <f t="shared" si="11"/>
        <v>709.97525921699992</v>
      </c>
      <c r="AF18" s="14">
        <f t="shared" si="12"/>
        <v>-99</v>
      </c>
      <c r="AG18" s="14">
        <f t="shared" si="13"/>
        <v>-99</v>
      </c>
      <c r="AH18" s="13">
        <f t="shared" si="14"/>
        <v>2357.4645276649562</v>
      </c>
    </row>
    <row r="19" spans="2:35" x14ac:dyDescent="0.2">
      <c r="B19" s="46">
        <v>3.018520054757595</v>
      </c>
      <c r="C19" s="46">
        <v>1.84</v>
      </c>
      <c r="D19" s="46">
        <v>6.59</v>
      </c>
      <c r="E19" s="15"/>
      <c r="F19" s="15"/>
      <c r="G19" s="27">
        <v>1</v>
      </c>
      <c r="H19" s="40">
        <f t="shared" si="0"/>
        <v>0.11</v>
      </c>
      <c r="I19" s="40">
        <f t="shared" si="1"/>
        <v>0.14000000000000001</v>
      </c>
      <c r="J19" s="11">
        <f t="shared" si="15"/>
        <v>1.7250000000000003</v>
      </c>
      <c r="K19" s="11">
        <f t="shared" si="16"/>
        <v>6.45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110.51829108304044</v>
      </c>
      <c r="P19" s="9">
        <f>P18+(B19-B18)*O19</f>
        <v>331.32722320780135</v>
      </c>
      <c r="Q19" s="13">
        <f t="shared" si="2"/>
        <v>331.32722320780135</v>
      </c>
      <c r="R19" s="11">
        <f t="shared" ref="R19:R20" si="24">P19/2088.54</f>
        <v>0.15864059257079172</v>
      </c>
      <c r="S19" s="11">
        <f t="shared" ref="S19:S20" si="25">Q19/2088.54</f>
        <v>0.15864059257079172</v>
      </c>
      <c r="T19" s="11">
        <f t="shared" si="20"/>
        <v>2.739130434782608</v>
      </c>
      <c r="U19" s="13">
        <f t="shared" si="21"/>
        <v>10.873635631625852</v>
      </c>
      <c r="V19" s="11">
        <f t="shared" si="22"/>
        <v>163.95750000000001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40.875519109178178</v>
      </c>
      <c r="AC19" s="11">
        <f t="shared" si="9"/>
        <v>2.5792970116521694</v>
      </c>
      <c r="AD19" s="13">
        <f t="shared" si="10"/>
        <v>422.89508978796061</v>
      </c>
      <c r="AE19" s="13">
        <f t="shared" si="11"/>
        <v>342.43179705</v>
      </c>
      <c r="AF19" s="14">
        <f t="shared" si="12"/>
        <v>-99</v>
      </c>
      <c r="AG19" s="14">
        <f t="shared" si="13"/>
        <v>-99</v>
      </c>
      <c r="AH19" s="13">
        <f t="shared" si="14"/>
        <v>883.23331082574725</v>
      </c>
    </row>
    <row r="20" spans="2:35" x14ac:dyDescent="0.2">
      <c r="B20" s="46">
        <v>4.0356300625801085</v>
      </c>
      <c r="C20" s="46">
        <v>2.9</v>
      </c>
      <c r="D20" s="46">
        <v>8.64</v>
      </c>
      <c r="E20" s="15"/>
      <c r="F20" s="15"/>
      <c r="G20" s="27">
        <v>1</v>
      </c>
      <c r="H20" s="40">
        <f t="shared" si="0"/>
        <v>0.11</v>
      </c>
      <c r="I20" s="40">
        <f t="shared" si="1"/>
        <v>0.14000000000000001</v>
      </c>
      <c r="J20" s="11">
        <f t="shared" si="15"/>
        <v>2.7355</v>
      </c>
      <c r="K20" s="11">
        <f t="shared" si="16"/>
        <v>8.5</v>
      </c>
      <c r="L20" s="11" t="str">
        <f t="shared" ref="L20:L23" si="26">IF(F20="Y",-99,IF(E20="","",IF(E20=0,"",E20-$L$4+$R$8)))</f>
        <v/>
      </c>
      <c r="M20" s="14">
        <f t="shared" si="23"/>
        <v>45.903315904998777</v>
      </c>
      <c r="N20" s="11">
        <f t="shared" ref="N20:N23" si="27">M20/2088.54</f>
        <v>2.1978662560927145E-2</v>
      </c>
      <c r="O20">
        <f t="shared" ref="O20:O23" si="28">IF(F20="y",130,1.12*$D$10*(V20/1.013)^0.1*(T20)^-0.05)</f>
        <v>114.17982144498335</v>
      </c>
      <c r="P20" s="9">
        <f t="shared" ref="P20:P23" si="29">P19+(B20-B19)*O20</f>
        <v>447.46066229088154</v>
      </c>
      <c r="Q20" s="13">
        <f t="shared" ref="Q20:Q23" si="30">P20-M20</f>
        <v>401.55734638588274</v>
      </c>
      <c r="R20" s="11">
        <f t="shared" si="24"/>
        <v>0.21424567510839226</v>
      </c>
      <c r="S20" s="11">
        <f t="shared" si="25"/>
        <v>0.19226701254746509</v>
      </c>
      <c r="T20" s="11">
        <f t="shared" ref="T20:T23" si="31">IF(F20="y",-99,(K20-J20)/(J20-N20))</f>
        <v>2.1243614046684942</v>
      </c>
      <c r="U20" s="13">
        <f t="shared" ref="U20:U23" si="32">IF(F20="y",-99,(J20-N20)/S20)</f>
        <v>14.113296407355286</v>
      </c>
      <c r="V20" s="11">
        <f t="shared" ref="V20:V23" si="33">IF(F20="y",-99,IF(J20&gt;K20,-1,34.7*(K20-J20)))</f>
        <v>200.02815000000001</v>
      </c>
      <c r="W20" s="11">
        <f t="shared" si="3"/>
        <v>-99</v>
      </c>
      <c r="X20" s="11">
        <f t="shared" si="4"/>
        <v>-99</v>
      </c>
      <c r="Y20" s="11">
        <f t="shared" si="5"/>
        <v>-99</v>
      </c>
      <c r="Z20" s="11">
        <f t="shared" si="6"/>
        <v>-99</v>
      </c>
      <c r="AA20" s="11">
        <f t="shared" si="7"/>
        <v>-99</v>
      </c>
      <c r="AB20" s="13">
        <f t="shared" si="8"/>
        <v>42.009119790486878</v>
      </c>
      <c r="AC20" s="11">
        <f t="shared" si="9"/>
        <v>2.8261900486395533</v>
      </c>
      <c r="AD20" s="13">
        <f t="shared" si="10"/>
        <v>565.31756697777985</v>
      </c>
      <c r="AE20" s="13">
        <f t="shared" si="11"/>
        <v>417.76679240100003</v>
      </c>
      <c r="AF20" s="14">
        <f t="shared" si="12"/>
        <v>-99</v>
      </c>
      <c r="AG20" s="14">
        <f t="shared" si="13"/>
        <v>-99</v>
      </c>
      <c r="AH20" s="13">
        <f t="shared" si="14"/>
        <v>1180.6883513357723</v>
      </c>
    </row>
    <row r="21" spans="2:35" x14ac:dyDescent="0.2">
      <c r="B21" s="46">
        <v>5.0527398748397827</v>
      </c>
      <c r="C21" s="46">
        <v>2.8</v>
      </c>
      <c r="D21" s="46">
        <v>6.33</v>
      </c>
      <c r="E21" s="15"/>
      <c r="F21" s="15"/>
      <c r="G21" s="27">
        <v>1</v>
      </c>
      <c r="H21" s="40">
        <f t="shared" si="0"/>
        <v>0.11</v>
      </c>
      <c r="I21" s="40">
        <f t="shared" si="1"/>
        <v>0.14000000000000001</v>
      </c>
      <c r="J21" s="11">
        <f t="shared" si="15"/>
        <v>2.746</v>
      </c>
      <c r="K21" s="11">
        <f t="shared" si="16"/>
        <v>6.19</v>
      </c>
      <c r="L21" s="11" t="str">
        <f t="shared" si="26"/>
        <v/>
      </c>
      <c r="M21" s="14">
        <f t="shared" ref="M21:M23" si="34">IF(B21&gt;$D$9,(B21-$D$9)*62.4,0)</f>
        <v>109.37096819000244</v>
      </c>
      <c r="N21" s="11">
        <f t="shared" si="27"/>
        <v>5.2367188653318797E-2</v>
      </c>
      <c r="O21">
        <f t="shared" si="28"/>
        <v>111.23582805699481</v>
      </c>
      <c r="P21" s="9">
        <f t="shared" si="29"/>
        <v>560.59971448248098</v>
      </c>
      <c r="Q21" s="13">
        <f t="shared" si="30"/>
        <v>451.22874629247855</v>
      </c>
      <c r="R21" s="11">
        <f t="shared" ref="R21:R23" si="35">P21/2088.54</f>
        <v>0.26841703509747528</v>
      </c>
      <c r="S21" s="11">
        <f t="shared" ref="S21:S23" si="36">Q21/2088.54</f>
        <v>0.21604984644415648</v>
      </c>
      <c r="T21" s="11">
        <f t="shared" si="31"/>
        <v>1.278570704029319</v>
      </c>
      <c r="U21" s="13">
        <f t="shared" si="32"/>
        <v>12.467645109124938</v>
      </c>
      <c r="V21" s="11">
        <f t="shared" si="33"/>
        <v>119.50680000000003</v>
      </c>
      <c r="W21" s="11">
        <f t="shared" si="3"/>
        <v>-99</v>
      </c>
      <c r="X21" s="11">
        <f t="shared" si="4"/>
        <v>-99</v>
      </c>
      <c r="Y21" s="11">
        <f t="shared" si="5"/>
        <v>-99</v>
      </c>
      <c r="Z21" s="11">
        <f t="shared" si="6"/>
        <v>-99</v>
      </c>
      <c r="AA21" s="11">
        <f t="shared" si="7"/>
        <v>-99</v>
      </c>
      <c r="AB21" s="13">
        <f t="shared" si="8"/>
        <v>-99</v>
      </c>
      <c r="AC21" s="11">
        <f t="shared" si="9"/>
        <v>2.7088100609113539</v>
      </c>
      <c r="AD21" s="13">
        <f t="shared" si="10"/>
        <v>323.72122218732108</v>
      </c>
      <c r="AE21" s="13">
        <f t="shared" si="11"/>
        <v>249.59473207200006</v>
      </c>
      <c r="AF21" s="14">
        <f t="shared" si="12"/>
        <v>-99</v>
      </c>
      <c r="AG21" s="14">
        <f t="shared" si="13"/>
        <v>-99</v>
      </c>
      <c r="AH21" s="13">
        <f t="shared" si="14"/>
        <v>676.10472138710747</v>
      </c>
    </row>
    <row r="22" spans="2:35" x14ac:dyDescent="0.2">
      <c r="B22" s="46">
        <v>6.0698500782251363</v>
      </c>
      <c r="C22" s="46">
        <v>5.1100000000000003</v>
      </c>
      <c r="D22" s="46">
        <v>16.93</v>
      </c>
      <c r="E22" s="15"/>
      <c r="F22" s="15"/>
      <c r="G22" s="27">
        <v>1</v>
      </c>
      <c r="H22" s="40">
        <f t="shared" si="0"/>
        <v>0.11</v>
      </c>
      <c r="I22" s="40">
        <f t="shared" si="1"/>
        <v>0.14000000000000001</v>
      </c>
      <c r="J22" s="11">
        <f t="shared" si="15"/>
        <v>4.6415000000000006</v>
      </c>
      <c r="K22" s="11">
        <f t="shared" si="16"/>
        <v>16.79</v>
      </c>
      <c r="L22" s="11" t="str">
        <f t="shared" si="26"/>
        <v/>
      </c>
      <c r="M22" s="14">
        <f t="shared" si="34"/>
        <v>172.83864488124851</v>
      </c>
      <c r="N22" s="11">
        <f t="shared" si="27"/>
        <v>8.2755726431501683E-2</v>
      </c>
      <c r="O22">
        <f t="shared" si="28"/>
        <v>121.63064498606394</v>
      </c>
      <c r="P22" s="9">
        <f t="shared" si="29"/>
        <v>684.31148454214826</v>
      </c>
      <c r="Q22" s="13">
        <f t="shared" si="30"/>
        <v>511.47283966089975</v>
      </c>
      <c r="R22" s="11">
        <f t="shared" si="35"/>
        <v>0.32765064808054828</v>
      </c>
      <c r="S22" s="11">
        <f t="shared" si="36"/>
        <v>0.24489492164904658</v>
      </c>
      <c r="T22" s="11">
        <f t="shared" si="31"/>
        <v>2.6648785873857279</v>
      </c>
      <c r="U22" s="13">
        <f t="shared" si="32"/>
        <v>18.61510333849035</v>
      </c>
      <c r="V22" s="11">
        <f t="shared" si="33"/>
        <v>421.55295000000001</v>
      </c>
      <c r="W22" s="11">
        <f t="shared" si="3"/>
        <v>-99</v>
      </c>
      <c r="X22" s="11">
        <f t="shared" si="4"/>
        <v>-99</v>
      </c>
      <c r="Y22" s="11">
        <f t="shared" si="5"/>
        <v>-99</v>
      </c>
      <c r="Z22" s="11">
        <f t="shared" si="6"/>
        <v>-99</v>
      </c>
      <c r="AA22" s="11">
        <f t="shared" si="7"/>
        <v>-99</v>
      </c>
      <c r="AB22" s="13">
        <f t="shared" si="8"/>
        <v>43.153663235312969</v>
      </c>
      <c r="AC22" s="11">
        <f t="shared" si="9"/>
        <v>3.0883066842066929</v>
      </c>
      <c r="AD22" s="13">
        <f t="shared" si="10"/>
        <v>1301.8847932320498</v>
      </c>
      <c r="AE22" s="13">
        <f t="shared" si="11"/>
        <v>880.43019819300002</v>
      </c>
      <c r="AF22" s="14">
        <f t="shared" si="12"/>
        <v>-99</v>
      </c>
      <c r="AG22" s="14">
        <f t="shared" si="13"/>
        <v>-99</v>
      </c>
      <c r="AH22" s="13">
        <f t="shared" si="14"/>
        <v>2719.0384660568652</v>
      </c>
    </row>
    <row r="23" spans="2:35" x14ac:dyDescent="0.2">
      <c r="B23" s="46">
        <v>7.0869602816104891</v>
      </c>
      <c r="C23" s="46">
        <v>3.99</v>
      </c>
      <c r="D23" s="46">
        <v>24.75</v>
      </c>
      <c r="E23" s="15"/>
      <c r="F23" s="15"/>
      <c r="G23" s="27">
        <v>1</v>
      </c>
      <c r="H23" s="40">
        <f t="shared" si="0"/>
        <v>0.11</v>
      </c>
      <c r="I23" s="40">
        <f t="shared" si="1"/>
        <v>0.14000000000000001</v>
      </c>
      <c r="J23" s="11">
        <f t="shared" si="15"/>
        <v>3.0745000000000005</v>
      </c>
      <c r="K23" s="11">
        <f t="shared" si="16"/>
        <v>24.61</v>
      </c>
      <c r="L23" s="11" t="str">
        <f t="shared" si="26"/>
        <v/>
      </c>
      <c r="M23" s="14">
        <f t="shared" si="34"/>
        <v>236.30632157249451</v>
      </c>
      <c r="N23" s="11">
        <f t="shared" si="27"/>
        <v>0.11314426420968453</v>
      </c>
      <c r="O23">
        <f t="shared" si="28"/>
        <v>122.49176494422353</v>
      </c>
      <c r="P23" s="9">
        <f t="shared" si="29"/>
        <v>808.89910849759826</v>
      </c>
      <c r="Q23" s="13">
        <f t="shared" si="30"/>
        <v>572.59278692510372</v>
      </c>
      <c r="R23" s="11">
        <f t="shared" si="35"/>
        <v>0.38730362286458403</v>
      </c>
      <c r="S23" s="11">
        <f t="shared" si="36"/>
        <v>0.27415935865489949</v>
      </c>
      <c r="T23" s="11">
        <f t="shared" si="31"/>
        <v>7.2721759630991043</v>
      </c>
      <c r="U23" s="13">
        <f t="shared" si="32"/>
        <v>10.801585436731155</v>
      </c>
      <c r="V23" s="11">
        <f t="shared" si="33"/>
        <v>747.28185000000008</v>
      </c>
      <c r="W23" s="11">
        <f t="shared" si="3"/>
        <v>-99</v>
      </c>
      <c r="X23" s="11">
        <f t="shared" si="4"/>
        <v>-99</v>
      </c>
      <c r="Y23" s="11">
        <f t="shared" si="5"/>
        <v>-99</v>
      </c>
      <c r="Z23" s="11">
        <f t="shared" si="6"/>
        <v>-99</v>
      </c>
      <c r="AA23" s="11">
        <f t="shared" si="7"/>
        <v>-99</v>
      </c>
      <c r="AB23" s="13">
        <f t="shared" si="8"/>
        <v>40.845915085809693</v>
      </c>
      <c r="AC23" s="11">
        <f t="shared" si="9"/>
        <v>2.5730027611318365</v>
      </c>
      <c r="AD23" s="13">
        <f t="shared" si="10"/>
        <v>1922.758263393707</v>
      </c>
      <c r="AE23" s="13">
        <f t="shared" si="11"/>
        <v>1560.7280349990001</v>
      </c>
      <c r="AF23" s="14">
        <f t="shared" si="12"/>
        <v>-99</v>
      </c>
      <c r="AG23" s="14">
        <f t="shared" si="13"/>
        <v>-99</v>
      </c>
      <c r="AH23" s="13">
        <f t="shared" si="14"/>
        <v>4015.757543428293</v>
      </c>
    </row>
    <row r="24" spans="2:35" x14ac:dyDescent="0.2">
      <c r="B24" s="46"/>
      <c r="C24" s="46"/>
      <c r="D24" s="46"/>
      <c r="E24" s="15"/>
      <c r="F24" s="15"/>
      <c r="G24" s="27"/>
      <c r="H24" s="40"/>
      <c r="I24" s="40"/>
      <c r="J24" s="11"/>
      <c r="K24" s="11"/>
      <c r="L24" s="11"/>
      <c r="M24" s="14"/>
      <c r="N24" s="11"/>
      <c r="P24" s="9"/>
      <c r="Q24" s="13"/>
      <c r="R24" s="11"/>
      <c r="S24" s="11"/>
      <c r="T24" s="11"/>
      <c r="U24" s="13"/>
      <c r="V24" s="11"/>
      <c r="W24" s="11"/>
      <c r="X24" s="11"/>
      <c r="Y24" s="11"/>
      <c r="Z24" s="11"/>
      <c r="AA24" s="11"/>
      <c r="AB24" s="13"/>
      <c r="AC24" s="11"/>
      <c r="AD24" s="13"/>
      <c r="AE24" s="13"/>
      <c r="AF24" s="14"/>
      <c r="AG24" s="14"/>
      <c r="AH24" s="13"/>
    </row>
    <row r="25" spans="2:35" x14ac:dyDescent="0.2">
      <c r="B25" s="46"/>
      <c r="C25" s="46"/>
      <c r="D25" s="46"/>
      <c r="E25" s="15"/>
      <c r="F25" s="15"/>
      <c r="G25" s="27"/>
      <c r="H25" s="40"/>
      <c r="I25" s="40"/>
      <c r="J25" s="11"/>
      <c r="K25" s="11"/>
      <c r="L25" s="11"/>
      <c r="M25" s="14"/>
      <c r="N25" s="11"/>
      <c r="P25" s="9"/>
      <c r="Q25" s="13"/>
      <c r="R25" s="11"/>
      <c r="S25" s="11"/>
      <c r="T25" s="11"/>
      <c r="U25" s="13"/>
      <c r="V25" s="11"/>
      <c r="W25" s="11"/>
      <c r="X25" s="11"/>
      <c r="Y25" s="11"/>
      <c r="Z25" s="11"/>
      <c r="AA25" s="11"/>
      <c r="AB25" s="13"/>
      <c r="AC25" s="11"/>
      <c r="AD25" s="13"/>
      <c r="AE25" s="13"/>
      <c r="AF25" s="14"/>
      <c r="AG25" s="14"/>
      <c r="AH25" s="13"/>
    </row>
    <row r="26" spans="2:35" x14ac:dyDescent="0.2">
      <c r="B26" s="46"/>
      <c r="C26" s="46"/>
      <c r="D26" s="46"/>
      <c r="E26" s="15"/>
      <c r="F26" s="15"/>
      <c r="G26" s="27"/>
      <c r="H26" s="40"/>
      <c r="I26" s="40"/>
      <c r="J26" s="11"/>
      <c r="K26" s="11"/>
      <c r="L26" s="11"/>
      <c r="M26" s="14"/>
      <c r="N26" s="11"/>
      <c r="P26" s="9"/>
      <c r="Q26" s="13"/>
      <c r="R26" s="11"/>
      <c r="S26" s="11"/>
      <c r="T26" s="11"/>
      <c r="U26" s="13"/>
      <c r="V26" s="11"/>
      <c r="W26" s="11"/>
      <c r="X26" s="11"/>
      <c r="Y26" s="11"/>
      <c r="Z26" s="11"/>
      <c r="AA26" s="11"/>
      <c r="AB26" s="13"/>
      <c r="AC26" s="11"/>
      <c r="AD26" s="13"/>
      <c r="AE26" s="13"/>
      <c r="AF26" s="14"/>
      <c r="AG26" s="14"/>
      <c r="AH26" s="13"/>
    </row>
    <row r="27" spans="2:35" x14ac:dyDescent="0.2">
      <c r="B27" s="46"/>
      <c r="C27" s="46"/>
      <c r="D27" s="46"/>
      <c r="E27" s="15"/>
      <c r="F27" s="15"/>
      <c r="G27" s="27"/>
      <c r="H27" s="40"/>
      <c r="I27" s="40"/>
      <c r="J27" s="11"/>
      <c r="K27" s="11"/>
      <c r="L27" s="11"/>
      <c r="M27" s="14"/>
      <c r="N27" s="11"/>
      <c r="P27" s="9"/>
      <c r="Q27" s="13"/>
      <c r="R27" s="11"/>
      <c r="S27" s="11"/>
      <c r="T27" s="11"/>
      <c r="U27" s="13"/>
      <c r="V27" s="11"/>
      <c r="W27" s="11"/>
      <c r="X27" s="11"/>
      <c r="Y27" s="11"/>
      <c r="Z27" s="11"/>
      <c r="AA27" s="11"/>
      <c r="AB27" s="13"/>
      <c r="AC27" s="11"/>
      <c r="AD27" s="13"/>
      <c r="AE27" s="13"/>
      <c r="AF27" s="14"/>
      <c r="AG27" s="14"/>
      <c r="AH27" s="13"/>
    </row>
    <row r="28" spans="2:35" x14ac:dyDescent="0.2">
      <c r="B28" s="46"/>
      <c r="C28" s="46"/>
      <c r="D28" s="46"/>
      <c r="E28" s="15"/>
      <c r="F28" s="15"/>
      <c r="G28" s="27"/>
      <c r="H28" s="40"/>
      <c r="I28" s="40"/>
      <c r="J28" s="11"/>
      <c r="K28" s="11"/>
      <c r="L28" s="11"/>
      <c r="M28" s="14"/>
      <c r="N28" s="11"/>
      <c r="P28" s="9"/>
      <c r="Q28" s="13"/>
      <c r="R28" s="11"/>
      <c r="S28" s="11"/>
      <c r="T28" s="11"/>
      <c r="U28" s="13"/>
      <c r="V28" s="11"/>
      <c r="W28" s="11"/>
      <c r="X28" s="11"/>
      <c r="Y28" s="11"/>
      <c r="Z28" s="11"/>
      <c r="AA28" s="11"/>
      <c r="AB28" s="13"/>
      <c r="AC28" s="11"/>
      <c r="AD28" s="13"/>
      <c r="AE28" s="13"/>
      <c r="AF28" s="14"/>
      <c r="AG28" s="14"/>
      <c r="AH28" s="13"/>
      <c r="AI28" s="11"/>
    </row>
    <row r="29" spans="2:35" x14ac:dyDescent="0.2">
      <c r="B29" s="15"/>
      <c r="C29" s="46"/>
      <c r="D29" s="46"/>
      <c r="E29" s="15"/>
      <c r="F29" s="15"/>
      <c r="G29" s="27"/>
      <c r="H29" s="40"/>
      <c r="I29" s="40"/>
      <c r="J29" s="11"/>
      <c r="K29" s="11"/>
      <c r="L29" s="11"/>
      <c r="M29" s="14"/>
      <c r="N29" s="11"/>
      <c r="P29" s="9"/>
      <c r="Q29" s="13"/>
      <c r="R29" s="11"/>
      <c r="S29" s="11"/>
      <c r="T29" s="11"/>
      <c r="U29" s="13"/>
      <c r="V29" s="11"/>
      <c r="W29" s="11"/>
      <c r="X29" s="11"/>
      <c r="Y29" s="11"/>
      <c r="Z29" s="11"/>
      <c r="AA29" s="11"/>
      <c r="AB29" s="13"/>
      <c r="AC29" s="11"/>
      <c r="AD29" s="13"/>
      <c r="AE29" s="13"/>
      <c r="AF29" s="14"/>
      <c r="AG29" s="14"/>
      <c r="AH29" s="13"/>
      <c r="AI29" s="11"/>
    </row>
    <row r="30" spans="2:35" x14ac:dyDescent="0.2">
      <c r="B30" s="15"/>
      <c r="C30" s="46"/>
      <c r="D30" s="46"/>
      <c r="E30" s="15"/>
      <c r="F30" s="15"/>
      <c r="G30" s="27"/>
      <c r="H30" s="40"/>
      <c r="I30" s="40"/>
      <c r="J30" s="11"/>
      <c r="K30" s="11"/>
      <c r="L30" s="11"/>
      <c r="M30" s="14"/>
      <c r="N30" s="11"/>
      <c r="P30" s="9"/>
      <c r="Q30" s="13"/>
      <c r="R30" s="11"/>
      <c r="S30" s="11"/>
      <c r="T30" s="11"/>
      <c r="U30" s="13"/>
      <c r="V30" s="11"/>
      <c r="W30" s="11"/>
      <c r="X30" s="11"/>
      <c r="Y30" s="11"/>
      <c r="Z30" s="11"/>
      <c r="AA30" s="11"/>
      <c r="AB30" s="13"/>
      <c r="AC30" s="11"/>
      <c r="AD30" s="13"/>
      <c r="AE30" s="13"/>
      <c r="AF30" s="14"/>
      <c r="AG30" s="14"/>
      <c r="AH30" s="13"/>
    </row>
    <row r="31" spans="2:35" x14ac:dyDescent="0.2">
      <c r="B31" s="15"/>
      <c r="C31" s="46"/>
      <c r="D31" s="46"/>
      <c r="E31" s="15"/>
      <c r="F31" s="15"/>
      <c r="G31" s="27"/>
      <c r="H31" s="40"/>
      <c r="I31" s="40"/>
      <c r="J31" s="11"/>
      <c r="K31" s="11"/>
      <c r="L31" s="11"/>
      <c r="M31" s="14"/>
      <c r="N31" s="11"/>
      <c r="P31" s="9"/>
      <c r="Q31" s="13"/>
      <c r="R31" s="11"/>
      <c r="S31" s="11"/>
      <c r="T31" s="11"/>
      <c r="U31" s="13"/>
      <c r="V31" s="11"/>
      <c r="W31" s="11"/>
      <c r="X31" s="11"/>
      <c r="Y31" s="11"/>
      <c r="Z31" s="11"/>
      <c r="AA31" s="11"/>
      <c r="AB31" s="13"/>
      <c r="AC31" s="11"/>
      <c r="AD31" s="13"/>
      <c r="AE31" s="13"/>
      <c r="AF31" s="14"/>
      <c r="AG31" s="14"/>
      <c r="AH31" s="13"/>
    </row>
    <row r="32" spans="2:35" x14ac:dyDescent="0.2">
      <c r="B32" s="24"/>
      <c r="C32" s="25"/>
      <c r="D32" s="25"/>
      <c r="E32" s="15"/>
      <c r="F32" s="15"/>
      <c r="G32" s="27"/>
      <c r="H32" s="40"/>
      <c r="I32" s="40"/>
      <c r="J32" s="11"/>
      <c r="K32" s="11"/>
      <c r="L32" s="11"/>
      <c r="M32" s="14"/>
      <c r="N32" s="11"/>
      <c r="P32" s="9"/>
      <c r="Q32" s="13"/>
      <c r="R32" s="11"/>
      <c r="S32" s="11"/>
      <c r="T32" s="11"/>
      <c r="U32" s="13"/>
      <c r="V32" s="11"/>
      <c r="W32" s="11"/>
      <c r="X32" s="11"/>
      <c r="Y32" s="11"/>
      <c r="Z32" s="11"/>
      <c r="AA32" s="11"/>
      <c r="AB32" s="13"/>
      <c r="AC32" s="11"/>
      <c r="AD32" s="13"/>
      <c r="AE32" s="13"/>
      <c r="AF32" s="14"/>
      <c r="AG32" s="14"/>
      <c r="AH32" s="13"/>
    </row>
    <row r="33" spans="2:34" x14ac:dyDescent="0.2">
      <c r="B33" s="24"/>
      <c r="C33" s="25"/>
      <c r="D33" s="25"/>
      <c r="E33" s="15"/>
      <c r="F33" s="15"/>
      <c r="G33" s="27"/>
      <c r="H33" s="40"/>
      <c r="I33" s="40"/>
      <c r="J33" s="11"/>
      <c r="K33" s="11"/>
      <c r="L33" s="11"/>
      <c r="M33" s="14"/>
      <c r="N33" s="11"/>
      <c r="P33" s="9"/>
      <c r="Q33" s="13"/>
      <c r="R33" s="11"/>
      <c r="S33" s="11"/>
      <c r="T33" s="11"/>
      <c r="U33" s="13"/>
      <c r="V33" s="11"/>
      <c r="W33" s="11"/>
      <c r="X33" s="11"/>
      <c r="Y33" s="11"/>
      <c r="Z33" s="11"/>
      <c r="AA33" s="11"/>
      <c r="AB33" s="13"/>
      <c r="AC33" s="11"/>
      <c r="AD33" s="13"/>
      <c r="AE33" s="13"/>
      <c r="AF33" s="14"/>
      <c r="AG33" s="14"/>
      <c r="AH33" s="13"/>
    </row>
    <row r="34" spans="2:34" x14ac:dyDescent="0.2">
      <c r="B34" s="24"/>
      <c r="C34" s="25"/>
      <c r="D34" s="25"/>
      <c r="E34" s="15"/>
      <c r="F34" s="15"/>
      <c r="G34" s="27"/>
      <c r="H34" s="40"/>
      <c r="I34" s="40"/>
      <c r="J34" s="11"/>
      <c r="K34" s="11"/>
      <c r="L34" s="11"/>
      <c r="M34" s="14"/>
      <c r="N34" s="11"/>
      <c r="P34" s="9"/>
      <c r="Q34" s="13"/>
      <c r="R34" s="11"/>
      <c r="S34" s="11"/>
      <c r="T34" s="11"/>
      <c r="U34" s="13"/>
      <c r="V34" s="11"/>
      <c r="W34" s="11"/>
      <c r="X34" s="11"/>
      <c r="Y34" s="11"/>
      <c r="Z34" s="11"/>
      <c r="AA34" s="11"/>
      <c r="AB34" s="13"/>
      <c r="AC34" s="11"/>
      <c r="AD34" s="13"/>
      <c r="AE34" s="13"/>
      <c r="AF34" s="14"/>
      <c r="AG34" s="14"/>
      <c r="AH34" s="13"/>
    </row>
    <row r="35" spans="2:34" x14ac:dyDescent="0.2">
      <c r="B35" s="24"/>
      <c r="C35" s="25"/>
      <c r="D35" s="25"/>
      <c r="E35" s="15"/>
      <c r="F35" s="15"/>
      <c r="G35" s="27"/>
      <c r="H35" s="40"/>
      <c r="I35" s="40"/>
      <c r="J35" s="11"/>
      <c r="K35" s="11"/>
      <c r="L35" s="11"/>
      <c r="M35" s="14"/>
      <c r="N35" s="11"/>
      <c r="P35" s="9"/>
      <c r="Q35" s="13"/>
      <c r="R35" s="11"/>
      <c r="S35" s="11"/>
      <c r="T35" s="11"/>
      <c r="U35" s="13"/>
      <c r="V35" s="11"/>
      <c r="W35" s="11"/>
      <c r="X35" s="11"/>
      <c r="Y35" s="11"/>
      <c r="Z35" s="11"/>
      <c r="AA35" s="11"/>
      <c r="AB35" s="13"/>
      <c r="AC35" s="11"/>
      <c r="AD35" s="13"/>
      <c r="AE35" s="13"/>
      <c r="AF35" s="14"/>
      <c r="AG35" s="14"/>
      <c r="AH35" s="13"/>
    </row>
    <row r="36" spans="2:34" x14ac:dyDescent="0.2">
      <c r="B36" s="24"/>
      <c r="C36" s="25"/>
      <c r="D36" s="25"/>
      <c r="E36" s="15"/>
      <c r="F36" s="15"/>
      <c r="G36" s="27"/>
      <c r="H36" s="40"/>
      <c r="I36" s="40"/>
      <c r="J36" s="11"/>
      <c r="K36" s="11"/>
      <c r="L36" s="11"/>
      <c r="M36" s="14"/>
      <c r="N36" s="11"/>
      <c r="P36" s="9"/>
      <c r="Q36" s="13"/>
      <c r="R36" s="11"/>
      <c r="S36" s="11"/>
      <c r="T36" s="11"/>
      <c r="U36" s="13"/>
      <c r="V36" s="11"/>
      <c r="W36" s="11"/>
      <c r="X36" s="11"/>
      <c r="Y36" s="11"/>
      <c r="Z36" s="11"/>
      <c r="AA36" s="11"/>
      <c r="AB36" s="13"/>
      <c r="AC36" s="11"/>
      <c r="AD36" s="13"/>
      <c r="AE36" s="13"/>
      <c r="AF36" s="14"/>
      <c r="AG36" s="14"/>
      <c r="AH36" s="13"/>
    </row>
    <row r="37" spans="2:34" x14ac:dyDescent="0.2">
      <c r="B37" s="24"/>
      <c r="C37" s="25"/>
      <c r="D37" s="25"/>
      <c r="E37" s="15"/>
      <c r="F37" s="15"/>
      <c r="G37" s="27"/>
      <c r="H37" s="40"/>
      <c r="I37" s="40"/>
      <c r="J37" s="11"/>
      <c r="K37" s="11"/>
      <c r="L37" s="11"/>
      <c r="M37" s="14"/>
      <c r="N37" s="11"/>
      <c r="P37" s="9"/>
      <c r="Q37" s="13"/>
      <c r="R37" s="11"/>
      <c r="S37" s="11"/>
      <c r="T37" s="11"/>
      <c r="U37" s="13"/>
      <c r="V37" s="11"/>
      <c r="W37" s="11"/>
      <c r="X37" s="11"/>
      <c r="Y37" s="11"/>
      <c r="Z37" s="11"/>
      <c r="AA37" s="11"/>
      <c r="AB37" s="13"/>
      <c r="AC37" s="11"/>
      <c r="AD37" s="13"/>
      <c r="AE37" s="13"/>
      <c r="AF37" s="14"/>
      <c r="AG37" s="14"/>
      <c r="AH37" s="13"/>
    </row>
    <row r="38" spans="2:34" x14ac:dyDescent="0.2">
      <c r="B38" s="24"/>
      <c r="C38" s="25"/>
      <c r="D38" s="25"/>
      <c r="E38" s="15"/>
      <c r="F38" s="15"/>
      <c r="G38" s="27"/>
      <c r="H38" s="40"/>
      <c r="I38" s="40"/>
      <c r="J38" s="11"/>
      <c r="K38" s="11"/>
      <c r="L38" s="11"/>
      <c r="M38" s="14"/>
      <c r="N38" s="11"/>
      <c r="P38" s="9"/>
      <c r="Q38" s="13"/>
      <c r="R38" s="11"/>
      <c r="S38" s="11"/>
      <c r="T38" s="11"/>
      <c r="U38" s="13"/>
      <c r="V38" s="11"/>
      <c r="W38" s="11"/>
      <c r="X38" s="11"/>
      <c r="Y38" s="11"/>
      <c r="Z38" s="11"/>
      <c r="AA38" s="11"/>
      <c r="AB38" s="13"/>
      <c r="AC38" s="11"/>
      <c r="AD38" s="13"/>
      <c r="AE38" s="13"/>
      <c r="AF38" s="14"/>
      <c r="AG38" s="14"/>
      <c r="AH38" s="13"/>
    </row>
    <row r="39" spans="2:34" x14ac:dyDescent="0.2">
      <c r="B39" s="24"/>
      <c r="C39" s="25"/>
      <c r="D39" s="25"/>
      <c r="E39" s="15"/>
      <c r="F39" s="15"/>
      <c r="G39" s="27"/>
      <c r="H39" s="40"/>
      <c r="I39" s="40"/>
      <c r="J39" s="11"/>
      <c r="K39" s="11"/>
      <c r="L39" s="11"/>
      <c r="M39" s="14"/>
      <c r="N39" s="11"/>
      <c r="P39" s="9"/>
      <c r="Q39" s="13"/>
      <c r="R39" s="11"/>
      <c r="S39" s="11"/>
      <c r="T39" s="11"/>
      <c r="U39" s="13"/>
      <c r="V39" s="11"/>
      <c r="W39" s="11"/>
      <c r="X39" s="11"/>
      <c r="Y39" s="11"/>
      <c r="Z39" s="11"/>
      <c r="AA39" s="11"/>
      <c r="AB39" s="13"/>
      <c r="AC39" s="11"/>
      <c r="AD39" s="13"/>
      <c r="AE39" s="13"/>
      <c r="AF39" s="14"/>
      <c r="AG39" s="14"/>
      <c r="AH39" s="13"/>
    </row>
    <row r="40" spans="2:34" x14ac:dyDescent="0.2">
      <c r="B40" s="24"/>
      <c r="C40" s="25"/>
      <c r="D40" s="25"/>
      <c r="E40" s="15"/>
      <c r="F40" s="15"/>
      <c r="G40" s="27"/>
      <c r="H40" s="40"/>
      <c r="I40" s="40"/>
      <c r="J40" s="11"/>
      <c r="K40" s="11"/>
      <c r="L40" s="11"/>
      <c r="M40" s="14"/>
      <c r="N40" s="11"/>
      <c r="P40" s="9"/>
      <c r="Q40" s="13"/>
      <c r="R40" s="11"/>
      <c r="S40" s="11"/>
      <c r="T40" s="11"/>
      <c r="U40" s="13"/>
      <c r="V40" s="11"/>
      <c r="W40" s="11"/>
      <c r="X40" s="11"/>
      <c r="Y40" s="11"/>
      <c r="Z40" s="11"/>
      <c r="AA40" s="11"/>
      <c r="AB40" s="13"/>
      <c r="AC40" s="11"/>
      <c r="AD40" s="13"/>
      <c r="AE40" s="13"/>
      <c r="AF40" s="14"/>
      <c r="AG40" s="14"/>
      <c r="AH40" s="13"/>
    </row>
    <row r="41" spans="2:34" x14ac:dyDescent="0.2">
      <c r="B41" s="24"/>
      <c r="C41" s="25"/>
      <c r="D41" s="25"/>
      <c r="E41" s="15"/>
      <c r="F41" s="15"/>
      <c r="G41" s="27"/>
      <c r="H41" s="40"/>
      <c r="I41" s="40"/>
      <c r="J41" s="11"/>
      <c r="K41" s="11"/>
      <c r="L41" s="11"/>
      <c r="M41" s="14"/>
      <c r="N41" s="11"/>
      <c r="P41" s="9"/>
      <c r="Q41" s="13"/>
      <c r="R41" s="11"/>
      <c r="S41" s="11"/>
      <c r="T41" s="11"/>
      <c r="U41" s="13"/>
      <c r="V41" s="11"/>
      <c r="W41" s="11"/>
      <c r="X41" s="11"/>
      <c r="Y41" s="11"/>
      <c r="Z41" s="11"/>
      <c r="AA41" s="11"/>
      <c r="AB41" s="13"/>
      <c r="AC41" s="11"/>
      <c r="AD41" s="13"/>
      <c r="AE41" s="13"/>
      <c r="AF41" s="14"/>
      <c r="AG41" s="14"/>
      <c r="AH41" s="13"/>
    </row>
    <row r="42" spans="2:34" x14ac:dyDescent="0.2">
      <c r="B42" s="24"/>
      <c r="C42" s="25"/>
      <c r="D42" s="25"/>
      <c r="E42" s="15"/>
      <c r="F42" s="15"/>
      <c r="G42" s="27"/>
      <c r="H42" s="40"/>
      <c r="I42" s="40"/>
      <c r="J42" s="11"/>
      <c r="K42" s="11"/>
      <c r="L42" s="11"/>
      <c r="M42" s="14"/>
      <c r="N42" s="11"/>
      <c r="P42" s="9"/>
      <c r="Q42" s="13"/>
      <c r="R42" s="11"/>
      <c r="S42" s="11"/>
      <c r="T42" s="11"/>
      <c r="U42" s="13"/>
      <c r="V42" s="11"/>
      <c r="W42" s="11"/>
      <c r="X42" s="11"/>
      <c r="Y42" s="11"/>
      <c r="Z42" s="11"/>
      <c r="AA42" s="11"/>
      <c r="AB42" s="13"/>
      <c r="AC42" s="11"/>
      <c r="AD42" s="13"/>
      <c r="AE42" s="13"/>
      <c r="AF42" s="14"/>
      <c r="AG42" s="14"/>
      <c r="AH42" s="13"/>
    </row>
    <row r="43" spans="2:34" x14ac:dyDescent="0.2">
      <c r="B43" s="24"/>
      <c r="C43" s="25"/>
      <c r="D43" s="25"/>
      <c r="E43" s="15"/>
      <c r="F43" s="15"/>
      <c r="G43" s="27"/>
      <c r="H43" s="40"/>
      <c r="I43" s="40"/>
      <c r="J43" s="11"/>
      <c r="K43" s="11"/>
      <c r="L43" s="11"/>
      <c r="M43" s="14"/>
      <c r="N43" s="11"/>
      <c r="P43" s="9"/>
      <c r="Q43" s="13"/>
      <c r="R43" s="11"/>
      <c r="S43" s="11"/>
      <c r="T43" s="11"/>
      <c r="U43" s="13"/>
      <c r="V43" s="11"/>
      <c r="W43" s="11"/>
      <c r="X43" s="11"/>
      <c r="Y43" s="11"/>
      <c r="Z43" s="11"/>
      <c r="AA43" s="11"/>
      <c r="AB43" s="13"/>
      <c r="AC43" s="11"/>
      <c r="AD43" s="13"/>
      <c r="AE43" s="13"/>
      <c r="AF43" s="14"/>
      <c r="AG43" s="14"/>
      <c r="AH43" s="13"/>
    </row>
    <row r="44" spans="2:34" x14ac:dyDescent="0.2">
      <c r="B44" s="24"/>
      <c r="C44" s="25"/>
      <c r="D44" s="25"/>
      <c r="E44" s="15"/>
      <c r="F44" s="15"/>
      <c r="G44" s="27"/>
      <c r="H44" s="40"/>
      <c r="I44" s="40"/>
      <c r="J44" s="11"/>
      <c r="K44" s="11"/>
      <c r="L44" s="11"/>
      <c r="M44" s="14"/>
      <c r="N44" s="11"/>
      <c r="P44" s="9"/>
      <c r="Q44" s="13"/>
      <c r="R44" s="11"/>
      <c r="S44" s="11"/>
      <c r="T44" s="11"/>
      <c r="U44" s="13"/>
      <c r="V44" s="11"/>
      <c r="W44" s="11"/>
      <c r="X44" s="11"/>
      <c r="Y44" s="11"/>
      <c r="Z44" s="11"/>
      <c r="AA44" s="11"/>
      <c r="AB44" s="13"/>
      <c r="AC44" s="11"/>
      <c r="AD44" s="13"/>
      <c r="AE44" s="13"/>
      <c r="AF44" s="14"/>
      <c r="AG44" s="14"/>
      <c r="AH44" s="13"/>
    </row>
    <row r="45" spans="2:34" x14ac:dyDescent="0.2">
      <c r="B45" s="24"/>
      <c r="C45" s="25"/>
      <c r="D45" s="25"/>
      <c r="E45" s="15"/>
      <c r="F45" s="15"/>
      <c r="G45" s="27"/>
      <c r="H45" s="40"/>
      <c r="I45" s="40"/>
      <c r="J45" s="11"/>
      <c r="K45" s="11"/>
      <c r="L45" s="11"/>
      <c r="M45" s="14"/>
      <c r="N45" s="11"/>
      <c r="P45" s="9"/>
      <c r="Q45" s="13"/>
      <c r="R45" s="11"/>
      <c r="S45" s="11"/>
      <c r="T45" s="11"/>
      <c r="U45" s="13"/>
      <c r="V45" s="11"/>
      <c r="W45" s="11"/>
      <c r="X45" s="11"/>
      <c r="Y45" s="11"/>
      <c r="Z45" s="11"/>
      <c r="AA45" s="11"/>
      <c r="AB45" s="13"/>
      <c r="AC45" s="11"/>
      <c r="AD45" s="13"/>
      <c r="AE45" s="13"/>
      <c r="AF45" s="14"/>
      <c r="AG45" s="14"/>
      <c r="AH45" s="13"/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customXml/itemProps2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2023-03-30T18:22:40Z</cp:lastPrinted>
  <dcterms:created xsi:type="dcterms:W3CDTF">2003-07-24T16:32:36Z</dcterms:created>
  <dcterms:modified xsi:type="dcterms:W3CDTF">2023-03-30T18:22:48Z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